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Consultoria\Trabajos\GALICIA RESILIENTE\2. REDE LOCAL POLO CLIMA\C-S06 T01. Diseño herramientas interactivas\TP-TAR-RSU\"/>
    </mc:Choice>
  </mc:AlternateContent>
  <xr:revisionPtr revIDLastSave="0" documentId="8_{324D193A-BABC-45E7-AB0D-2F262E71ECB6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1-CAMBIO DE UNIDADES" sheetId="2" r:id="rId1"/>
    <sheet name="2-FACTORES DE EMISIÓN" sheetId="1" r:id="rId2"/>
    <sheet name="3-TRANSPORTE PÚBLICO" sheetId="3" r:id="rId3"/>
    <sheet name="4-TRATAMENTO AUGAS RESIDUAIS" sheetId="4" r:id="rId4"/>
    <sheet name="5-TRATAMENTO RSU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P20" i="5"/>
  <c r="P21" i="5"/>
  <c r="Q20" i="5"/>
  <c r="Q21" i="5"/>
  <c r="Q24" i="5"/>
  <c r="P24" i="5"/>
  <c r="O24" i="5"/>
  <c r="O22" i="5"/>
  <c r="N14" i="4"/>
  <c r="O14" i="4"/>
  <c r="N24" i="5"/>
  <c r="N22" i="5"/>
  <c r="H22" i="1"/>
  <c r="G22" i="1"/>
  <c r="H21" i="1"/>
  <c r="G21" i="1"/>
  <c r="H20" i="1"/>
  <c r="G20" i="1"/>
  <c r="L19" i="1"/>
  <c r="J19" i="1"/>
  <c r="I19" i="1"/>
  <c r="H19" i="1"/>
  <c r="G19" i="1"/>
  <c r="L18" i="1"/>
  <c r="J18" i="1"/>
  <c r="I18" i="1"/>
  <c r="H18" i="1"/>
  <c r="G18" i="1"/>
  <c r="L17" i="1"/>
  <c r="J17" i="1"/>
  <c r="I17" i="1"/>
  <c r="H17" i="1"/>
  <c r="G17" i="1"/>
  <c r="L16" i="1"/>
  <c r="J16" i="1"/>
  <c r="I16" i="1"/>
  <c r="H16" i="1"/>
  <c r="G16" i="1"/>
  <c r="L15" i="1"/>
  <c r="J15" i="1"/>
  <c r="I15" i="1"/>
  <c r="H15" i="1"/>
  <c r="G15" i="1"/>
  <c r="L14" i="1"/>
  <c r="J14" i="1"/>
  <c r="I14" i="1"/>
  <c r="H14" i="1"/>
  <c r="G14" i="1"/>
  <c r="L13" i="1"/>
  <c r="J13" i="1"/>
  <c r="I13" i="1"/>
  <c r="H13" i="1"/>
  <c r="G13" i="1"/>
  <c r="L12" i="1"/>
  <c r="J12" i="1"/>
  <c r="I12" i="1"/>
  <c r="H12" i="1"/>
  <c r="G12" i="1"/>
  <c r="L11" i="1"/>
  <c r="J11" i="1"/>
  <c r="I11" i="1"/>
  <c r="H11" i="1"/>
  <c r="G11" i="1"/>
  <c r="M24" i="5"/>
  <c r="M22" i="5"/>
  <c r="M14" i="4"/>
  <c r="L22" i="5"/>
  <c r="L24" i="5"/>
  <c r="D24" i="5"/>
  <c r="G55" i="3"/>
  <c r="G56" i="3"/>
  <c r="G57" i="3"/>
  <c r="G58" i="3"/>
  <c r="G59" i="3"/>
  <c r="G23" i="3"/>
  <c r="G27" i="3" s="1"/>
  <c r="G24" i="3"/>
  <c r="G25" i="3"/>
  <c r="G26" i="3"/>
  <c r="D22" i="5"/>
  <c r="K24" i="5"/>
  <c r="J24" i="5"/>
  <c r="I24" i="5"/>
  <c r="H24" i="5"/>
  <c r="G24" i="5"/>
  <c r="F24" i="5"/>
  <c r="E24" i="5"/>
  <c r="K22" i="5"/>
  <c r="J22" i="5"/>
  <c r="I22" i="5"/>
  <c r="H22" i="5"/>
  <c r="G22" i="5"/>
  <c r="F22" i="5"/>
  <c r="E22" i="5"/>
  <c r="G61" i="3"/>
  <c r="G62" i="3"/>
  <c r="G63" i="3"/>
  <c r="G64" i="3"/>
  <c r="G65" i="3"/>
  <c r="G29" i="3"/>
  <c r="G30" i="3"/>
  <c r="G31" i="3"/>
  <c r="G32" i="3"/>
  <c r="G49" i="3"/>
  <c r="G50" i="3"/>
  <c r="G51" i="3"/>
  <c r="G52" i="3"/>
  <c r="G17" i="3"/>
  <c r="G21" i="3" s="1"/>
  <c r="G18" i="3"/>
  <c r="G19" i="3"/>
  <c r="G20" i="3"/>
  <c r="F76" i="3"/>
  <c r="F77" i="3"/>
  <c r="F90" i="3" s="1"/>
  <c r="F78" i="3"/>
  <c r="F79" i="3"/>
  <c r="F80" i="3"/>
  <c r="F81" i="3"/>
  <c r="F82" i="3"/>
  <c r="F83" i="3"/>
  <c r="F84" i="3"/>
  <c r="F85" i="3"/>
  <c r="F86" i="3"/>
  <c r="F87" i="3"/>
  <c r="F88" i="3"/>
  <c r="F89" i="3"/>
  <c r="G43" i="3"/>
  <c r="G44" i="3"/>
  <c r="G45" i="3"/>
  <c r="G46" i="3"/>
  <c r="G47" i="3"/>
  <c r="G11" i="3"/>
  <c r="G12" i="3"/>
  <c r="G13" i="3"/>
  <c r="G14" i="3"/>
  <c r="E69" i="3"/>
  <c r="D69" i="3"/>
  <c r="C69" i="3"/>
  <c r="B69" i="3"/>
  <c r="E38" i="3"/>
  <c r="D38" i="3"/>
  <c r="C38" i="3"/>
  <c r="B38" i="3"/>
  <c r="F68" i="2"/>
  <c r="F67" i="2"/>
  <c r="F66" i="2"/>
  <c r="F65" i="2"/>
  <c r="F64" i="2"/>
  <c r="F63" i="2"/>
  <c r="F62" i="2"/>
  <c r="F61" i="2"/>
  <c r="F60" i="2"/>
  <c r="F56" i="2"/>
  <c r="F55" i="2"/>
  <c r="F54" i="2"/>
  <c r="F53" i="2"/>
  <c r="F49" i="2"/>
  <c r="E44" i="2"/>
  <c r="F44" i="2"/>
  <c r="E43" i="2"/>
  <c r="F43" i="2"/>
  <c r="E42" i="2"/>
  <c r="F42" i="2"/>
  <c r="F41" i="2"/>
  <c r="F40" i="2"/>
  <c r="E39" i="2"/>
  <c r="F39" i="2"/>
  <c r="F38" i="2"/>
  <c r="E33" i="2"/>
  <c r="F33" i="2" s="1"/>
  <c r="E32" i="2"/>
  <c r="F32" i="2"/>
  <c r="E31" i="2"/>
  <c r="F31" i="2" s="1"/>
  <c r="F30" i="2"/>
  <c r="F29" i="2"/>
  <c r="E28" i="2"/>
  <c r="F28" i="2" s="1"/>
  <c r="F27" i="2"/>
  <c r="F22" i="2"/>
  <c r="F15" i="2"/>
  <c r="F14" i="2"/>
  <c r="E13" i="2"/>
  <c r="F13" i="2" s="1"/>
  <c r="E12" i="2"/>
  <c r="F12" i="2" s="1"/>
  <c r="F11" i="2"/>
  <c r="F10" i="2"/>
  <c r="F9" i="2"/>
  <c r="E8" i="2"/>
  <c r="F8" i="2"/>
  <c r="F7" i="2"/>
  <c r="E6" i="2"/>
  <c r="F6" i="2" s="1"/>
  <c r="E5" i="2"/>
  <c r="F5" i="2" s="1"/>
  <c r="Q6" i="4" l="1"/>
  <c r="P22" i="5"/>
  <c r="E98" i="3"/>
  <c r="G53" i="3"/>
  <c r="D98" i="3" s="1"/>
  <c r="G15" i="3"/>
  <c r="C98" i="3" s="1"/>
  <c r="G33" i="3"/>
  <c r="Q22" i="5"/>
  <c r="F98" i="3"/>
  <c r="Q28" i="5" l="1"/>
  <c r="Q30" i="5" s="1"/>
  <c r="Q10" i="5" s="1"/>
  <c r="Q9" i="5" s="1"/>
  <c r="Q6" i="5" s="1"/>
</calcChain>
</file>

<file path=xl/sharedStrings.xml><?xml version="1.0" encoding="utf-8"?>
<sst xmlns="http://schemas.openxmlformats.org/spreadsheetml/2006/main" count="341" uniqueCount="184">
  <si>
    <t>Electricidad</t>
  </si>
  <si>
    <t>Calor/frío</t>
  </si>
  <si>
    <t>Combustibles fósiles</t>
  </si>
  <si>
    <t>Energías renovables</t>
  </si>
  <si>
    <t>Local</t>
  </si>
  <si>
    <t>Gas natural</t>
  </si>
  <si>
    <t>Gas licuado</t>
  </si>
  <si>
    <t>Gasóleo de calefacción</t>
  </si>
  <si>
    <t>Diésel</t>
  </si>
  <si>
    <t>Gasolina</t>
  </si>
  <si>
    <t>Lignito</t>
  </si>
  <si>
    <t>Carbón</t>
  </si>
  <si>
    <t xml:space="preserve">Aceite vegetal </t>
  </si>
  <si>
    <t>Biocombustible</t>
  </si>
  <si>
    <t>Otros tipos de biomasa</t>
  </si>
  <si>
    <t>Energía solar térmica</t>
  </si>
  <si>
    <t>Energía geotérmica</t>
  </si>
  <si>
    <r>
      <t>C. Emisiones de CO</t>
    </r>
    <r>
      <rPr>
        <b/>
        <vertAlign val="subscript"/>
        <sz val="11"/>
        <rFont val="Arial"/>
        <family val="2"/>
      </rPr>
      <t>2</t>
    </r>
  </si>
  <si>
    <r>
      <t>C1. Indique los factores de emisión de CO</t>
    </r>
    <r>
      <rPr>
        <b/>
        <vertAlign val="subscript"/>
        <sz val="11"/>
        <rFont val="Arial"/>
        <family val="2"/>
      </rPr>
      <t xml:space="preserve">2 </t>
    </r>
    <r>
      <rPr>
        <b/>
        <sz val="11"/>
        <rFont val="Arial"/>
        <family val="2"/>
      </rPr>
      <t>utilizados [t/MWh]:</t>
    </r>
  </si>
  <si>
    <t>Año</t>
  </si>
  <si>
    <t>Año elegido para inventario</t>
  </si>
  <si>
    <t xml:space="preserve">Nacional </t>
  </si>
  <si>
    <t>CONVERSIÓN DE UNIDADES</t>
  </si>
  <si>
    <t xml:space="preserve">1.1. Consumos enerxéticos dos edificios, instalacións e equipamentos municipais. </t>
  </si>
  <si>
    <t>Dato</t>
  </si>
  <si>
    <t>Documentos</t>
  </si>
  <si>
    <t>Valor ano IER</t>
  </si>
  <si>
    <t>Unidades datos</t>
  </si>
  <si>
    <t>factor de conversión</t>
  </si>
  <si>
    <t>Mwh IER PACES</t>
  </si>
  <si>
    <t>valores fixos</t>
  </si>
  <si>
    <t>Consumo final de enerxía eléctrica</t>
  </si>
  <si>
    <t>Facturas de consumo eléctrico</t>
  </si>
  <si>
    <t>Kwh/ano</t>
  </si>
  <si>
    <t>valores a introducir polo concello</t>
  </si>
  <si>
    <t>Consumo final de enerxía producida por combustibles fósiles</t>
  </si>
  <si>
    <t>Facturas de consumo de gasóleo para calefacción</t>
  </si>
  <si>
    <t>Litros/ano</t>
  </si>
  <si>
    <t>valores calculados</t>
  </si>
  <si>
    <t>Facturas de consumo de GLP</t>
  </si>
  <si>
    <t>Facturas de consumo de Gas Natural</t>
  </si>
  <si>
    <t>Nm3/ano</t>
  </si>
  <si>
    <t xml:space="preserve"> Facturas de consumo de lignito</t>
  </si>
  <si>
    <t>Toneladas / ano</t>
  </si>
  <si>
    <t>Facturas de consumo de carbón (antracita)</t>
  </si>
  <si>
    <t>Consumo final de enerxía renovable</t>
  </si>
  <si>
    <t xml:space="preserve">Facturas de consumo de biomasa </t>
  </si>
  <si>
    <t>Facturas de consumo de aceite vexetal*</t>
  </si>
  <si>
    <t>Facturas de consumo de biocombustibles**</t>
  </si>
  <si>
    <t>Consumo de enerxía solar térmica</t>
  </si>
  <si>
    <t>Consumo de enerxía xeotérmica</t>
  </si>
  <si>
    <t>Fonte IDAE. Elaboración propia</t>
  </si>
  <si>
    <t>* aceite vexetal puro</t>
  </si>
  <si>
    <t>** media do poder calorífico por unidade de masa de 10 biocombustibles líquidos.</t>
  </si>
  <si>
    <t>1.2. Consumos enerxéticos da iluminación pública. (fonte: concello)</t>
  </si>
  <si>
    <t>Unidades</t>
  </si>
  <si>
    <t>Elaboración propia</t>
  </si>
  <si>
    <t>1.3. Consumos enerxéticos do parque municipal de vehículos. (fonte: concello)</t>
  </si>
  <si>
    <t>Facturas de consumo de gasolina</t>
  </si>
  <si>
    <t>Facturas de consumo de Gasóleo A y B</t>
  </si>
  <si>
    <t>Facturas de consumo de biodiesel</t>
  </si>
  <si>
    <t>1.4. Consumos enerxéticos do servizo de transporte público. (fonte: concello ou enquisa a empresa prestadora do servizo)</t>
  </si>
  <si>
    <t>1.5. Adquisición municipal de electricidade ecolóxica certificada. (Fonte: Concello)</t>
  </si>
  <si>
    <t>Enerxía renovable adquirida</t>
  </si>
  <si>
    <t>Facturas subministro eléctrico</t>
  </si>
  <si>
    <t>1.7. Enerxía renovable xerada por plantas locais de producción de electricidade de potencia &lt; 20 Mw. (fonte: enquisa a empresas productoras)</t>
  </si>
  <si>
    <t>Producción de enerxía eólica</t>
  </si>
  <si>
    <t>-</t>
  </si>
  <si>
    <t>Mwh/ano</t>
  </si>
  <si>
    <t>Producción de enerxía hidroeléctrica</t>
  </si>
  <si>
    <t>Producción de enerxía fotovoltaica</t>
  </si>
  <si>
    <t>Producción de enerxía Xeotérmica</t>
  </si>
  <si>
    <t>1.8. Enerxía xerada por plantas locais de producción de electricidade de potencia &lt; 20 Mw. (fonte: enquisa a empresas productoras)</t>
  </si>
  <si>
    <t xml:space="preserve">Electricidade xerada a partir de gas natural </t>
  </si>
  <si>
    <t>Electricidade xerada a partir de GLP</t>
  </si>
  <si>
    <t>Electricidade xerada a partir de gasóleo C</t>
  </si>
  <si>
    <t>Electricidade xerada a partir de lignito</t>
  </si>
  <si>
    <t>Electricidade xerada a partir de carbón</t>
  </si>
  <si>
    <t>Electricidade xerada a partir de residuos</t>
  </si>
  <si>
    <t>Electricidade xerada a partir de aceite vexetal</t>
  </si>
  <si>
    <t>Electricidade xerada a partir doutros tipos de biomasa</t>
  </si>
  <si>
    <t>Electricidade xerada a partir doutros tipos de renovables</t>
  </si>
  <si>
    <t>ESTIMACIÓN DE CONSUMOS DE TRANSPORTE PÚBLICO</t>
  </si>
  <si>
    <t>A. TRANSPORTE EN AUTOCAR E AUTOBÚS</t>
  </si>
  <si>
    <t>non obrigada cumprimentación</t>
  </si>
  <si>
    <t>Cadro 01. Consumos do transporte urbano de viaxeiros en autobús</t>
  </si>
  <si>
    <t>ORIXE</t>
  </si>
  <si>
    <t>DESTINO</t>
  </si>
  <si>
    <t>DISTANCIA (km)*</t>
  </si>
  <si>
    <t>FRECUENCIA SEMANAL  (nº viaxes)</t>
  </si>
  <si>
    <t>CONSUMO UNITARIO  (Mwh/km)**</t>
  </si>
  <si>
    <t>CONSUMO GASÓLEO   (Mwh)</t>
  </si>
  <si>
    <t>TOTAL CONSUMO ANUAL DE GASÓLEO POR TRANSPORTE URBANO DE VIAXEIROS</t>
  </si>
  <si>
    <t>CONSUMO GASOLINA   (Mwh)</t>
  </si>
  <si>
    <t>TOTAL CONSUMO ANUAL DE GASOLINA POR TRANSPORTE URBANO DE VIAXEIROS</t>
  </si>
  <si>
    <t>CONSUMO ELECTRICIDADE     (Mwh)</t>
  </si>
  <si>
    <t xml:space="preserve">TOTAL CONSUMO ANUAL DE ELECTRICIDADE  POR TRANSPORTE URBANO DE VIAXEIROS </t>
  </si>
  <si>
    <t>CONSUMO GAS NATURAL   (Mwh)</t>
  </si>
  <si>
    <t xml:space="preserve">TOTAL CONSUMO ANUAL DE GAS NATURAL POR TRANSPORTE URBANO DE VIAXEIROS </t>
  </si>
  <si>
    <t>Cadro 02. Consumo unitario de autobuses segundo tipo de vehículo (Mwh/km)</t>
  </si>
  <si>
    <t>autobús &gt; 55 p</t>
  </si>
  <si>
    <t>autobús 39-55p</t>
  </si>
  <si>
    <t>autobús 26-38 p</t>
  </si>
  <si>
    <t>microbús 10-26</t>
  </si>
  <si>
    <t>Fonte: Ministerio de Fomento. Enertrans</t>
  </si>
  <si>
    <t>Cadro 03. Consumos do transporte interurbano de viaxeiros en autocar</t>
  </si>
  <si>
    <t>CONSUMO GASÓLEO            (Mwh)</t>
  </si>
  <si>
    <t xml:space="preserve">TOTAL CONSUMO ANUAL DE GASÓLEO POR TRANSPORTE INTERURBANO DE VIAXEIROS </t>
  </si>
  <si>
    <t>CONSUMO GASOLINA           (Mwh)</t>
  </si>
  <si>
    <t>TOTAL CONSUMO ANUAL DE GASOLINA POR TRANSPORTE INTERURURBANO DE VIAXEIROS</t>
  </si>
  <si>
    <t>CONSUMO ELECTRICIDADE           (Mwh)</t>
  </si>
  <si>
    <t>CONSUMO GAS NATURAL           (Mwh)</t>
  </si>
  <si>
    <t>Cadro 04. Consumo unitario de autocares segundo tipo de vehículo (Mwh/km)</t>
  </si>
  <si>
    <t>B. TRANSPORTE POR FERROCARRIL</t>
  </si>
  <si>
    <t>Cadro 05. Consumos de electricidade e gasóleo do transporte de viaxeiros en ferrocarril.</t>
  </si>
  <si>
    <t>LÍNEA</t>
  </si>
  <si>
    <t>FRECUENCIA          MEDIA DIARIA  (nº viaxes)</t>
  </si>
  <si>
    <t>CONSUMO UNITARIO  GASÓLEO  (Mwh/km dia)</t>
  </si>
  <si>
    <t>CONSUMO GASÓLEO (Mwh/ano)</t>
  </si>
  <si>
    <t>A CORUÑA - SANTIAGO - A CORUÑA</t>
  </si>
  <si>
    <t>SANTIAGO - VIGO - SANTIAGO</t>
  </si>
  <si>
    <t>A CORUÑA - FERROL - A CORUÑA</t>
  </si>
  <si>
    <t>SANTIAGO - OURENSE - SANTIAGO</t>
  </si>
  <si>
    <t>MONFORTE - PONFERRADA - MONFORTE</t>
  </si>
  <si>
    <t>OURENSE - POBRA DE SANABRIA - OURENSE</t>
  </si>
  <si>
    <t>LUGO - A CORUÑA - LUGO</t>
  </si>
  <si>
    <t>OURENSE - MONFORTE - OURENSE</t>
  </si>
  <si>
    <t>A CORUÑA - LUGO - A CORUÑA</t>
  </si>
  <si>
    <t>LUGO - MONFORTE - LUGO</t>
  </si>
  <si>
    <t>OURENSE - VIGO - OURENSE</t>
  </si>
  <si>
    <t>FERROL-ORTIGUEIRA-FERROL</t>
  </si>
  <si>
    <t>ORTIGUEIRA-ASTURIAS-ORTIGUEIRA</t>
  </si>
  <si>
    <t xml:space="preserve">VIGO - PORTO - VIGO </t>
  </si>
  <si>
    <t>TOTAL CONSUMOS ANUAIS TRANSPORTE DE VIAXEIROS EN FERROCARRIL</t>
  </si>
  <si>
    <t>Fonte: RENFE. IDAE. Elaboración propia</t>
  </si>
  <si>
    <t>* Distancia percorrida dentro dos límites do termo municipal</t>
  </si>
  <si>
    <t>C. RESULTADOS</t>
  </si>
  <si>
    <t>Cadro 06. Total consumos enerxéticos do transporte público</t>
  </si>
  <si>
    <t>GASÓLEO</t>
  </si>
  <si>
    <t>GASOLINA</t>
  </si>
  <si>
    <t>ELECTRICIDADE</t>
  </si>
  <si>
    <t>GAS NATURAL</t>
  </si>
  <si>
    <t>total consumos</t>
  </si>
  <si>
    <t>EMISIONES DE GEI DEBIDAS AO TRATAMENTO DE AUGAS RESIDUAIS</t>
  </si>
  <si>
    <t>TeqCO2/ano</t>
  </si>
  <si>
    <t xml:space="preserve">Datos de actividade: </t>
  </si>
  <si>
    <t>habitantes</t>
  </si>
  <si>
    <t>cadro 01: Ratio de emisións (teq CO2/hab)</t>
  </si>
  <si>
    <t>RSU</t>
  </si>
  <si>
    <t>Emisións per cápita (teq CO2)</t>
  </si>
  <si>
    <t>teq CO2/hab</t>
  </si>
  <si>
    <r>
      <rPr>
        <b/>
        <sz val="11"/>
        <color theme="1"/>
        <rFont val="Calibri"/>
        <family val="2"/>
        <scheme val="minor"/>
      </rPr>
      <t>Emisións per cápita</t>
    </r>
    <r>
      <rPr>
        <sz val="11"/>
        <color theme="1"/>
        <rFont val="Calibri"/>
        <family val="2"/>
        <scheme val="minor"/>
      </rPr>
      <t xml:space="preserve"> (tomar o correspondente ao ano de inventario do cadro 01)</t>
    </r>
  </si>
  <si>
    <t>EMISIONS DE GEI DEBIDAS AO TRATAMENTO DE RESIDUOS SÓLIDOS URBANOS (SOGAMA)</t>
  </si>
  <si>
    <t>resultado emisións totais = Emisións tratamento en vertedoiro VRS + tratamento por valorización enerxética</t>
  </si>
  <si>
    <t>Emisións por tratamento en vertedoiro VRS</t>
  </si>
  <si>
    <t>Resultado emisións por tratamento en vertedoiro</t>
  </si>
  <si>
    <t>Emisións CH4 = ((RSUt x RSUf x Lo) -R) x (1-OX)) en VRS</t>
  </si>
  <si>
    <t>t CH4/ano</t>
  </si>
  <si>
    <t>Factores de emisión:</t>
  </si>
  <si>
    <t>Lo = potencial de generación de metano</t>
  </si>
  <si>
    <t>Gg CH4/Gg residuos</t>
  </si>
  <si>
    <t>t/ano</t>
  </si>
  <si>
    <t>cadro 01: Datos de actividade (SOGAMA)</t>
  </si>
  <si>
    <t>total (t)</t>
  </si>
  <si>
    <t>enviados VRS (t)</t>
  </si>
  <si>
    <t>RSUf</t>
  </si>
  <si>
    <t>CH4rec (Nm3)</t>
  </si>
  <si>
    <t>CH4rec (t) / RSUf (t)</t>
  </si>
  <si>
    <t>Fonte: SOGAMA. Elaboración propia. (*) en condicións estándar de temperatura e presión.</t>
  </si>
  <si>
    <t>Masa de residuos enviada a VRS polo concello no ano de inventario</t>
  </si>
  <si>
    <t xml:space="preserve">t RSU </t>
  </si>
  <si>
    <t>t CH4rec / tRSUf</t>
  </si>
  <si>
    <t>CH4 recuperado do VRS correspondente ao concello no ano de inventario (R)</t>
  </si>
  <si>
    <t>t CH4 / ano</t>
  </si>
  <si>
    <t>Otros combustibles fósiles(1)</t>
  </si>
  <si>
    <t>Fuente: CNMC, MITECO</t>
  </si>
  <si>
    <t>(1) Butano+propano</t>
  </si>
  <si>
    <r>
      <rPr>
        <b/>
        <sz val="11"/>
        <color theme="1"/>
        <rFont val="Calibri"/>
        <family val="2"/>
        <scheme val="minor"/>
      </rPr>
      <t>CH4rec (t) / RSUF (t)</t>
    </r>
    <r>
      <rPr>
        <sz val="11"/>
        <color theme="1"/>
        <rFont val="Calibri"/>
        <family val="2"/>
        <scheme val="minor"/>
      </rPr>
      <t xml:space="preserve"> no ano de inventario (tomar o valor correspondete ao ano de inventario do cadro 01-liña 24)</t>
    </r>
  </si>
  <si>
    <r>
      <rPr>
        <b/>
        <sz val="11"/>
        <color theme="1"/>
        <rFont val="Calibri"/>
        <family val="2"/>
        <scheme val="minor"/>
      </rPr>
      <t xml:space="preserve">RSUf </t>
    </r>
    <r>
      <rPr>
        <sz val="11"/>
        <color theme="1"/>
        <rFont val="Calibri"/>
        <family val="2"/>
        <scheme val="minor"/>
      </rPr>
      <t>Fracción de RSU depositados en VRS (tomar o correspondente ao ano de inventario do cadro 01-liña 22)</t>
    </r>
  </si>
  <si>
    <t>valores calculados automáticamente</t>
  </si>
  <si>
    <t>Cifra oficial de poboación</t>
  </si>
  <si>
    <t>emisións totais por tratamento de augas residuais no ano de inventario</t>
  </si>
  <si>
    <t xml:space="preserve">Fonte Miterd. </t>
  </si>
  <si>
    <t>RSUt Masa de RSU (fracción resto) enviados á planta de tratamento (t facturadas polo xestor no ano de inventario)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</si>
</sst>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0.000"/>
    <numFmt numFmtId="166" formatCode="_-* #,##0.0\ _€_-;\-* #,##0.0\ _€_-;_-* &quot;-&quot;??\ _€_-;_-@_-"/>
    <numFmt numFmtId="167" formatCode="_-* #,##0.0\ _€_-;\-* #,##0.0\ _€_-;_-* &quot;-&quot;?\ _€_-;_-@_-"/>
    <numFmt numFmtId="168" formatCode="0.0000"/>
    <numFmt numFmtId="169" formatCode="#,##0.0_ ;\-#,##0.0\ "/>
    <numFmt numFmtId="170" formatCode="#,##0.000000"/>
    <numFmt numFmtId="171" formatCode="#,##0.00_ ;\-#,##0.00\ "/>
    <numFmt numFmtId="172" formatCode="#,##0.0000_ ;\-#,##0.0000\ "/>
    <numFmt numFmtId="173" formatCode="#,##0.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 val="double"/>
      <sz val="11"/>
      <name val="Arial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u/>
      <sz val="10"/>
      <color indexed="12"/>
      <name val="Arial"/>
      <family val="2"/>
    </font>
    <font>
      <b/>
      <sz val="9"/>
      <color theme="0"/>
      <name val="Arial"/>
      <family val="2"/>
    </font>
    <font>
      <u/>
      <sz val="10"/>
      <color theme="5"/>
      <name val="Tahoma"/>
      <family val="2"/>
    </font>
    <font>
      <sz val="9"/>
      <color theme="1"/>
      <name val="Arial"/>
      <family val="2"/>
    </font>
    <font>
      <sz val="11"/>
      <color theme="5"/>
      <name val="Calibri"/>
      <family val="2"/>
    </font>
    <font>
      <b/>
      <sz val="11"/>
      <color theme="6"/>
      <name val="Arial"/>
      <family val="2"/>
    </font>
    <font>
      <b/>
      <sz val="10"/>
      <color theme="0"/>
      <name val="Arial"/>
      <family val="2"/>
    </font>
    <font>
      <i/>
      <sz val="11"/>
      <color theme="0" tint="-0.499984740745262"/>
      <name val="Arial"/>
      <family val="2"/>
    </font>
    <font>
      <b/>
      <u val="double"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6"/>
      <color rgb="FF535353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F1F2C4"/>
        <bgColor indexed="64"/>
      </patternFill>
    </fill>
    <fill>
      <patternFill patternType="solid">
        <fgColor rgb="FFE6E899"/>
        <bgColor indexed="64"/>
      </patternFill>
    </fill>
    <fill>
      <patternFill patternType="solid">
        <fgColor rgb="FF8EB747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F2F2C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</borders>
  <cellStyleXfs count="39">
    <xf numFmtId="0" fontId="0" fillId="0" borderId="0"/>
    <xf numFmtId="0" fontId="8" fillId="2" borderId="0" applyNumberFormat="0" applyBorder="0" applyAlignment="0" applyProtection="0"/>
    <xf numFmtId="49" fontId="17" fillId="6" borderId="6" applyBorder="0">
      <alignment horizontal="left"/>
    </xf>
    <xf numFmtId="0" fontId="9" fillId="2" borderId="0" applyNumberFormat="0" applyBorder="0" applyAlignment="0" applyProtection="0"/>
    <xf numFmtId="0" fontId="10" fillId="4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8" fillId="0" borderId="0" applyNumberFormat="0" applyBorder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9" fillId="7" borderId="7">
      <alignment horizontal="left" vertical="top"/>
    </xf>
    <xf numFmtId="49" fontId="19" fillId="8" borderId="7">
      <alignment horizontal="left" vertical="top"/>
    </xf>
    <xf numFmtId="0" fontId="20" fillId="0" borderId="0">
      <alignment vertical="center"/>
    </xf>
    <xf numFmtId="0" fontId="18" fillId="0" borderId="0" applyNumberFormat="0" applyBorder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49" fontId="17" fillId="9" borderId="7">
      <alignment horizontal="left" vertical="top" wrapText="1"/>
    </xf>
    <xf numFmtId="49" fontId="17" fillId="10" borderId="7">
      <alignment horizontal="left" vertical="top" wrapText="1"/>
    </xf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5" borderId="4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9" fontId="21" fillId="0" borderId="7">
      <alignment horizontal="left"/>
    </xf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164" fontId="1" fillId="0" borderId="0" applyFont="0" applyFill="0" applyBorder="0" applyAlignment="0" applyProtection="0"/>
    <xf numFmtId="0" fontId="32" fillId="0" borderId="0"/>
  </cellStyleXfs>
  <cellXfs count="241">
    <xf numFmtId="0" fontId="0" fillId="0" borderId="0" xfId="0"/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2" fontId="30" fillId="0" borderId="0" xfId="0" applyNumberFormat="1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center" vertical="center" wrapText="1"/>
    </xf>
    <xf numFmtId="2" fontId="30" fillId="0" borderId="11" xfId="0" applyNumberFormat="1" applyFont="1" applyBorder="1" applyAlignment="1">
      <alignment horizontal="center" vertical="center" wrapText="1"/>
    </xf>
    <xf numFmtId="0" fontId="30" fillId="16" borderId="11" xfId="0" applyFont="1" applyFill="1" applyBorder="1"/>
    <xf numFmtId="0" fontId="30" fillId="17" borderId="11" xfId="0" applyFont="1" applyFill="1" applyBorder="1" applyAlignment="1">
      <alignment horizontal="center" vertical="center" wrapText="1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1" xfId="0" applyFont="1" applyFill="1" applyBorder="1" applyAlignment="1">
      <alignment horizontal="center" vertical="center"/>
    </xf>
    <xf numFmtId="2" fontId="30" fillId="18" borderId="11" xfId="0" applyNumberFormat="1" applyFont="1" applyFill="1" applyBorder="1" applyAlignment="1">
      <alignment horizontal="center" vertical="center"/>
    </xf>
    <xf numFmtId="0" fontId="30" fillId="17" borderId="11" xfId="0" applyFont="1" applyFill="1" applyBorder="1"/>
    <xf numFmtId="0" fontId="31" fillId="0" borderId="12" xfId="0" applyFont="1" applyBorder="1" applyAlignment="1">
      <alignment vertical="top" wrapText="1" indent="1"/>
    </xf>
    <xf numFmtId="0" fontId="30" fillId="18" borderId="11" xfId="0" applyFont="1" applyFill="1" applyBorder="1"/>
    <xf numFmtId="0" fontId="27" fillId="0" borderId="0" xfId="0" applyFont="1"/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19" borderId="0" xfId="0" applyFill="1"/>
    <xf numFmtId="0" fontId="0" fillId="19" borderId="0" xfId="0" applyFill="1" applyAlignment="1">
      <alignment horizontal="center" vertical="center"/>
    </xf>
    <xf numFmtId="0" fontId="28" fillId="0" borderId="0" xfId="0" applyFont="1"/>
    <xf numFmtId="4" fontId="0" fillId="0" borderId="0" xfId="0" applyNumberFormat="1" applyAlignment="1">
      <alignment horizontal="center"/>
    </xf>
    <xf numFmtId="0" fontId="28" fillId="18" borderId="23" xfId="0" applyFont="1" applyFill="1" applyBorder="1"/>
    <xf numFmtId="0" fontId="0" fillId="18" borderId="24" xfId="0" applyFill="1" applyBorder="1"/>
    <xf numFmtId="4" fontId="28" fillId="18" borderId="33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0" fontId="28" fillId="0" borderId="34" xfId="0" applyFont="1" applyBorder="1"/>
    <xf numFmtId="0" fontId="28" fillId="0" borderId="35" xfId="0" applyFont="1" applyBorder="1"/>
    <xf numFmtId="0" fontId="35" fillId="0" borderId="35" xfId="0" applyFont="1" applyBorder="1"/>
    <xf numFmtId="0" fontId="0" fillId="0" borderId="35" xfId="0" applyBorder="1" applyAlignment="1">
      <alignment horizontal="center"/>
    </xf>
    <xf numFmtId="4" fontId="28" fillId="0" borderId="35" xfId="0" applyNumberFormat="1" applyFont="1" applyBorder="1" applyAlignment="1">
      <alignment horizontal="center"/>
    </xf>
    <xf numFmtId="0" fontId="28" fillId="0" borderId="36" xfId="0" applyFont="1" applyBorder="1"/>
    <xf numFmtId="0" fontId="0" fillId="0" borderId="37" xfId="0" applyBorder="1"/>
    <xf numFmtId="0" fontId="0" fillId="0" borderId="0" xfId="0" applyAlignment="1">
      <alignment horizontal="center" vertical="center"/>
    </xf>
    <xf numFmtId="1" fontId="0" fillId="17" borderId="33" xfId="0" applyNumberFormat="1" applyFill="1" applyBorder="1" applyAlignment="1">
      <alignment horizontal="center"/>
    </xf>
    <xf numFmtId="4" fontId="0" fillId="0" borderId="38" xfId="0" applyNumberFormat="1" applyBorder="1" applyAlignment="1">
      <alignment horizontal="left"/>
    </xf>
    <xf numFmtId="0" fontId="0" fillId="19" borderId="37" xfId="0" applyFill="1" applyBorder="1"/>
    <xf numFmtId="4" fontId="0" fillId="19" borderId="0" xfId="0" applyNumberFormat="1" applyFill="1" applyAlignment="1">
      <alignment horizontal="center" vertical="center"/>
    </xf>
    <xf numFmtId="4" fontId="0" fillId="19" borderId="38" xfId="0" applyNumberFormat="1" applyFill="1" applyBorder="1" applyAlignment="1">
      <alignment horizontal="left"/>
    </xf>
    <xf numFmtId="4" fontId="0" fillId="0" borderId="0" xfId="0" applyNumberFormat="1" applyAlignment="1">
      <alignment horizontal="left"/>
    </xf>
    <xf numFmtId="0" fontId="0" fillId="0" borderId="38" xfId="0" applyBorder="1"/>
    <xf numFmtId="0" fontId="28" fillId="0" borderId="16" xfId="0" applyFont="1" applyBorder="1"/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8" fillId="0" borderId="39" xfId="0" applyFont="1" applyBorder="1"/>
    <xf numFmtId="172" fontId="0" fillId="16" borderId="30" xfId="0" applyNumberFormat="1" applyFill="1" applyBorder="1" applyAlignment="1">
      <alignment horizontal="center" vertical="center"/>
    </xf>
    <xf numFmtId="172" fontId="0" fillId="16" borderId="30" xfId="0" applyNumberFormat="1" applyFill="1" applyBorder="1" applyAlignment="1">
      <alignment horizontal="center"/>
    </xf>
    <xf numFmtId="0" fontId="35" fillId="0" borderId="0" xfId="0" applyFont="1"/>
    <xf numFmtId="168" fontId="0" fillId="17" borderId="11" xfId="0" applyNumberFormat="1" applyFill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35" fillId="0" borderId="41" xfId="0" applyFont="1" applyBorder="1"/>
    <xf numFmtId="0" fontId="0" fillId="0" borderId="41" xfId="0" applyBorder="1" applyAlignment="1">
      <alignment horizontal="center" vertical="center"/>
    </xf>
    <xf numFmtId="4" fontId="0" fillId="0" borderId="41" xfId="0" applyNumberFormat="1" applyBorder="1" applyAlignment="1">
      <alignment horizontal="left"/>
    </xf>
    <xf numFmtId="0" fontId="0" fillId="0" borderId="42" xfId="0" applyBorder="1"/>
    <xf numFmtId="170" fontId="0" fillId="0" borderId="0" xfId="0" applyNumberFormat="1" applyAlignment="1">
      <alignment horizontal="center" vertical="center"/>
    </xf>
    <xf numFmtId="0" fontId="0" fillId="0" borderId="46" xfId="0" applyBorder="1" applyAlignment="1">
      <alignment horizontal="center"/>
    </xf>
    <xf numFmtId="172" fontId="0" fillId="16" borderId="47" xfId="0" applyNumberFormat="1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28" fillId="0" borderId="43" xfId="0" applyFont="1" applyBorder="1"/>
    <xf numFmtId="171" fontId="0" fillId="16" borderId="26" xfId="0" applyNumberFormat="1" applyFill="1" applyBorder="1" applyAlignment="1">
      <alignment horizontal="center" vertical="center"/>
    </xf>
    <xf numFmtId="171" fontId="0" fillId="16" borderId="27" xfId="0" applyNumberFormat="1" applyFill="1" applyBorder="1" applyAlignment="1">
      <alignment horizontal="center" vertical="center"/>
    </xf>
    <xf numFmtId="171" fontId="0" fillId="16" borderId="27" xfId="0" applyNumberFormat="1" applyFill="1" applyBorder="1" applyAlignment="1">
      <alignment horizontal="center"/>
    </xf>
    <xf numFmtId="171" fontId="0" fillId="16" borderId="28" xfId="0" applyNumberFormat="1" applyFill="1" applyBorder="1" applyAlignment="1">
      <alignment horizontal="center"/>
    </xf>
    <xf numFmtId="0" fontId="28" fillId="0" borderId="44" xfId="0" applyFont="1" applyBorder="1"/>
    <xf numFmtId="171" fontId="0" fillId="16" borderId="21" xfId="0" applyNumberFormat="1" applyFill="1" applyBorder="1" applyAlignment="1">
      <alignment horizontal="center" vertical="center"/>
    </xf>
    <xf numFmtId="171" fontId="0" fillId="16" borderId="11" xfId="0" applyNumberFormat="1" applyFill="1" applyBorder="1" applyAlignment="1">
      <alignment horizontal="center" vertical="center"/>
    </xf>
    <xf numFmtId="171" fontId="0" fillId="16" borderId="11" xfId="0" applyNumberFormat="1" applyFill="1" applyBorder="1" applyAlignment="1">
      <alignment horizontal="center"/>
    </xf>
    <xf numFmtId="171" fontId="0" fillId="16" borderId="22" xfId="0" applyNumberFormat="1" applyFill="1" applyBorder="1" applyAlignment="1">
      <alignment horizontal="center"/>
    </xf>
    <xf numFmtId="10" fontId="0" fillId="18" borderId="21" xfId="0" applyNumberFormat="1" applyFill="1" applyBorder="1" applyAlignment="1">
      <alignment horizontal="center" vertical="center"/>
    </xf>
    <xf numFmtId="10" fontId="0" fillId="18" borderId="11" xfId="0" applyNumberFormat="1" applyFill="1" applyBorder="1" applyAlignment="1">
      <alignment horizontal="center" vertical="center"/>
    </xf>
    <xf numFmtId="10" fontId="0" fillId="18" borderId="22" xfId="0" applyNumberFormat="1" applyFill="1" applyBorder="1" applyAlignment="1">
      <alignment horizontal="center" vertical="center"/>
    </xf>
    <xf numFmtId="3" fontId="0" fillId="16" borderId="21" xfId="0" applyNumberFormat="1" applyFill="1" applyBorder="1" applyAlignment="1">
      <alignment horizontal="center"/>
    </xf>
    <xf numFmtId="3" fontId="0" fillId="16" borderId="11" xfId="0" applyNumberFormat="1" applyFill="1" applyBorder="1" applyAlignment="1">
      <alignment horizontal="center"/>
    </xf>
    <xf numFmtId="3" fontId="0" fillId="16" borderId="22" xfId="0" applyNumberFormat="1" applyFill="1" applyBorder="1" applyAlignment="1">
      <alignment horizontal="center"/>
    </xf>
    <xf numFmtId="0" fontId="28" fillId="0" borderId="45" xfId="0" applyFont="1" applyBorder="1"/>
    <xf numFmtId="172" fontId="0" fillId="18" borderId="29" xfId="0" applyNumberFormat="1" applyFill="1" applyBorder="1" applyAlignment="1">
      <alignment horizontal="center" vertical="center"/>
    </xf>
    <xf numFmtId="172" fontId="0" fillId="18" borderId="31" xfId="0" applyNumberFormat="1" applyFill="1" applyBorder="1" applyAlignment="1">
      <alignment horizontal="center" vertical="center"/>
    </xf>
    <xf numFmtId="172" fontId="0" fillId="18" borderId="32" xfId="0" applyNumberFormat="1" applyFill="1" applyBorder="1" applyAlignment="1">
      <alignment horizontal="center" vertical="center"/>
    </xf>
    <xf numFmtId="4" fontId="0" fillId="17" borderId="11" xfId="0" applyNumberFormat="1" applyFill="1" applyBorder="1" applyAlignment="1" applyProtection="1">
      <alignment horizontal="center" vertical="center"/>
      <protection locked="0"/>
    </xf>
    <xf numFmtId="10" fontId="0" fillId="17" borderId="11" xfId="0" applyNumberFormat="1" applyFill="1" applyBorder="1" applyAlignment="1" applyProtection="1">
      <alignment horizontal="center" vertical="center"/>
      <protection locked="0"/>
    </xf>
    <xf numFmtId="173" fontId="0" fillId="17" borderId="13" xfId="0" applyNumberFormat="1" applyFill="1" applyBorder="1" applyAlignment="1" applyProtection="1">
      <alignment horizontal="center" vertical="center"/>
      <protection locked="0"/>
    </xf>
    <xf numFmtId="0" fontId="36" fillId="0" borderId="37" xfId="0" applyFont="1" applyBorder="1"/>
    <xf numFmtId="0" fontId="36" fillId="0" borderId="0" xfId="0" applyFont="1"/>
    <xf numFmtId="0" fontId="36" fillId="0" borderId="38" xfId="0" applyFont="1" applyBorder="1"/>
    <xf numFmtId="3" fontId="0" fillId="18" borderId="13" xfId="0" applyNumberFormat="1" applyFill="1" applyBorder="1" applyAlignment="1">
      <alignment horizontal="center" vertical="center"/>
    </xf>
    <xf numFmtId="4" fontId="0" fillId="18" borderId="31" xfId="0" applyNumberFormat="1" applyFill="1" applyBorder="1" applyAlignment="1">
      <alignment horizontal="center" vertical="center"/>
    </xf>
    <xf numFmtId="0" fontId="28" fillId="19" borderId="34" xfId="0" applyFont="1" applyFill="1" applyBorder="1"/>
    <xf numFmtId="0" fontId="28" fillId="19" borderId="35" xfId="0" applyFont="1" applyFill="1" applyBorder="1"/>
    <xf numFmtId="0" fontId="0" fillId="19" borderId="35" xfId="0" applyFill="1" applyBorder="1" applyAlignment="1">
      <alignment horizontal="center"/>
    </xf>
    <xf numFmtId="4" fontId="0" fillId="18" borderId="33" xfId="0" applyNumberFormat="1" applyFill="1" applyBorder="1" applyAlignment="1">
      <alignment horizontal="center"/>
    </xf>
    <xf numFmtId="0" fontId="0" fillId="19" borderId="36" xfId="0" applyFill="1" applyBorder="1"/>
    <xf numFmtId="0" fontId="28" fillId="19" borderId="0" xfId="0" applyFont="1" applyFill="1"/>
    <xf numFmtId="0" fontId="28" fillId="19" borderId="37" xfId="0" applyFont="1" applyFill="1" applyBorder="1"/>
    <xf numFmtId="0" fontId="0" fillId="19" borderId="38" xfId="0" applyFill="1" applyBorder="1"/>
    <xf numFmtId="0" fontId="28" fillId="0" borderId="37" xfId="0" applyFont="1" applyBorder="1"/>
    <xf numFmtId="0" fontId="0" fillId="0" borderId="0" xfId="0" applyAlignment="1">
      <alignment horizontal="center" vertical="center" wrapText="1"/>
    </xf>
    <xf numFmtId="4" fontId="28" fillId="19" borderId="0" xfId="0" applyNumberFormat="1" applyFont="1" applyFill="1" applyAlignment="1">
      <alignment horizontal="center"/>
    </xf>
    <xf numFmtId="0" fontId="28" fillId="19" borderId="38" xfId="0" applyFont="1" applyFill="1" applyBorder="1"/>
    <xf numFmtId="170" fontId="0" fillId="16" borderId="11" xfId="0" applyNumberFormat="1" applyFill="1" applyBorder="1" applyAlignment="1">
      <alignment horizontal="center" vertical="center"/>
    </xf>
    <xf numFmtId="0" fontId="28" fillId="0" borderId="38" xfId="0" applyFont="1" applyBorder="1"/>
    <xf numFmtId="0" fontId="2" fillId="12" borderId="0" xfId="18" applyFont="1" applyFill="1"/>
    <xf numFmtId="0" fontId="3" fillId="12" borderId="0" xfId="18" applyFont="1" applyFill="1" applyAlignment="1">
      <alignment horizontal="left" vertical="center"/>
    </xf>
    <xf numFmtId="0" fontId="23" fillId="12" borderId="0" xfId="18" applyFont="1" applyFill="1" applyAlignment="1">
      <alignment horizontal="left" vertical="center" wrapText="1"/>
    </xf>
    <xf numFmtId="0" fontId="2" fillId="11" borderId="0" xfId="18" applyFont="1" applyFill="1"/>
    <xf numFmtId="0" fontId="3" fillId="11" borderId="0" xfId="18" applyFont="1" applyFill="1" applyAlignment="1">
      <alignment horizontal="left"/>
    </xf>
    <xf numFmtId="0" fontId="23" fillId="11" borderId="0" xfId="18" applyFont="1" applyFill="1" applyAlignment="1">
      <alignment horizontal="left" vertical="center" wrapText="1"/>
    </xf>
    <xf numFmtId="0" fontId="23" fillId="15" borderId="0" xfId="18" applyFont="1" applyFill="1" applyAlignment="1">
      <alignment horizontal="left" vertical="center" wrapText="1"/>
    </xf>
    <xf numFmtId="0" fontId="3" fillId="11" borderId="0" xfId="18" applyFont="1" applyFill="1" applyAlignment="1">
      <alignment vertical="center"/>
    </xf>
    <xf numFmtId="0" fontId="3" fillId="11" borderId="0" xfId="18" applyFont="1" applyFill="1"/>
    <xf numFmtId="0" fontId="23" fillId="11" borderId="0" xfId="18" applyFont="1" applyFill="1" applyAlignment="1">
      <alignment horizontal="left" vertical="center"/>
    </xf>
    <xf numFmtId="0" fontId="5" fillId="11" borderId="0" xfId="18" applyFill="1"/>
    <xf numFmtId="0" fontId="5" fillId="15" borderId="0" xfId="18" applyFill="1"/>
    <xf numFmtId="0" fontId="26" fillId="14" borderId="8" xfId="18" applyFont="1" applyFill="1" applyBorder="1" applyAlignment="1">
      <alignment horizontal="center" vertical="center" wrapText="1"/>
    </xf>
    <xf numFmtId="0" fontId="6" fillId="14" borderId="8" xfId="18" applyFont="1" applyFill="1" applyBorder="1" applyAlignment="1">
      <alignment horizontal="center" vertical="center" wrapText="1"/>
    </xf>
    <xf numFmtId="0" fontId="7" fillId="14" borderId="8" xfId="18" applyFont="1" applyFill="1" applyBorder="1" applyAlignment="1">
      <alignment horizontal="center" vertical="center" wrapText="1"/>
    </xf>
    <xf numFmtId="0" fontId="24" fillId="14" borderId="8" xfId="18" applyFont="1" applyFill="1" applyBorder="1" applyAlignment="1">
      <alignment horizontal="center" vertical="center" wrapText="1"/>
    </xf>
    <xf numFmtId="0" fontId="25" fillId="14" borderId="8" xfId="18" applyFont="1" applyFill="1" applyBorder="1" applyAlignment="1">
      <alignment horizontal="center" vertical="center" wrapText="1"/>
    </xf>
    <xf numFmtId="0" fontId="2" fillId="0" borderId="0" xfId="18" applyFont="1"/>
    <xf numFmtId="0" fontId="6" fillId="11" borderId="0" xfId="18" applyFont="1" applyFill="1" applyAlignment="1">
      <alignment horizontal="center"/>
    </xf>
    <xf numFmtId="165" fontId="22" fillId="13" borderId="8" xfId="18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166" fontId="0" fillId="17" borderId="14" xfId="37" applyNumberFormat="1" applyFont="1" applyFill="1" applyBorder="1" applyAlignment="1" applyProtection="1">
      <alignment horizontal="center" vertical="center" wrapText="1"/>
      <protection locked="0"/>
    </xf>
    <xf numFmtId="0" fontId="0" fillId="17" borderId="14" xfId="0" applyFill="1" applyBorder="1" applyAlignment="1" applyProtection="1">
      <alignment horizontal="center"/>
      <protection locked="0"/>
    </xf>
    <xf numFmtId="166" fontId="0" fillId="17" borderId="11" xfId="37" applyNumberFormat="1" applyFont="1" applyFill="1" applyBorder="1" applyAlignment="1" applyProtection="1">
      <alignment horizontal="center" vertical="center" wrapText="1"/>
      <protection locked="0"/>
    </xf>
    <xf numFmtId="0" fontId="0" fillId="17" borderId="11" xfId="0" applyFill="1" applyBorder="1" applyAlignment="1" applyProtection="1">
      <alignment horizontal="center"/>
      <protection locked="0"/>
    </xf>
    <xf numFmtId="166" fontId="0" fillId="17" borderId="14" xfId="37" applyNumberFormat="1" applyFont="1" applyFill="1" applyBorder="1" applyAlignment="1" applyProtection="1">
      <alignment vertical="center" wrapText="1"/>
      <protection locked="0"/>
    </xf>
    <xf numFmtId="0" fontId="0" fillId="17" borderId="14" xfId="0" applyFill="1" applyBorder="1" applyProtection="1">
      <protection locked="0"/>
    </xf>
    <xf numFmtId="166" fontId="0" fillId="17" borderId="11" xfId="37" applyNumberFormat="1" applyFont="1" applyFill="1" applyBorder="1" applyAlignment="1" applyProtection="1">
      <alignment vertical="center" wrapText="1"/>
      <protection locked="0"/>
    </xf>
    <xf numFmtId="0" fontId="0" fillId="17" borderId="11" xfId="0" applyFill="1" applyBorder="1" applyProtection="1">
      <protection locked="0"/>
    </xf>
    <xf numFmtId="0" fontId="28" fillId="0" borderId="0" xfId="0" applyFont="1" applyAlignment="1">
      <alignment vertical="center"/>
    </xf>
    <xf numFmtId="166" fontId="0" fillId="0" borderId="0" xfId="37" applyNumberFormat="1" applyFont="1" applyAlignment="1" applyProtection="1">
      <alignment horizontal="center" vertical="center" wrapText="1"/>
    </xf>
    <xf numFmtId="0" fontId="28" fillId="0" borderId="11" xfId="0" applyFont="1" applyBorder="1" applyAlignment="1">
      <alignment vertical="center"/>
    </xf>
    <xf numFmtId="166" fontId="0" fillId="0" borderId="0" xfId="37" applyNumberFormat="1" applyFont="1" applyAlignment="1" applyProtection="1">
      <alignment horizontal="center" vertical="center"/>
    </xf>
    <xf numFmtId="0" fontId="33" fillId="0" borderId="0" xfId="38" applyFont="1" applyAlignment="1">
      <alignment horizontal="left"/>
    </xf>
    <xf numFmtId="0" fontId="0" fillId="0" borderId="16" xfId="0" applyBorder="1" applyAlignment="1">
      <alignment horizontal="center" vertical="center" wrapText="1"/>
    </xf>
    <xf numFmtId="166" fontId="0" fillId="0" borderId="17" xfId="37" applyNumberFormat="1" applyFont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166" fontId="34" fillId="0" borderId="14" xfId="37" applyNumberFormat="1" applyFont="1" applyFill="1" applyBorder="1" applyAlignment="1" applyProtection="1">
      <alignment horizontal="center" vertical="center" wrapText="1"/>
    </xf>
    <xf numFmtId="167" fontId="0" fillId="14" borderId="20" xfId="0" applyNumberFormat="1" applyFill="1" applyBorder="1" applyAlignment="1">
      <alignment horizontal="center" vertical="center"/>
    </xf>
    <xf numFmtId="0" fontId="34" fillId="0" borderId="21" xfId="0" applyFont="1" applyBorder="1" applyAlignment="1">
      <alignment horizontal="center" vertical="center" wrapText="1"/>
    </xf>
    <xf numFmtId="166" fontId="34" fillId="0" borderId="11" xfId="37" applyNumberFormat="1" applyFont="1" applyFill="1" applyBorder="1" applyAlignment="1" applyProtection="1">
      <alignment horizontal="center" vertical="center" wrapText="1"/>
    </xf>
    <xf numFmtId="167" fontId="0" fillId="14" borderId="22" xfId="0" applyNumberForma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14" borderId="18" xfId="0" applyFill="1" applyBorder="1" applyAlignment="1">
      <alignment horizontal="center" vertical="center"/>
    </xf>
    <xf numFmtId="0" fontId="0" fillId="19" borderId="0" xfId="0" applyFill="1" applyAlignment="1">
      <alignment horizontal="center" vertical="center" wrapText="1"/>
    </xf>
    <xf numFmtId="166" fontId="0" fillId="19" borderId="0" xfId="37" applyNumberFormat="1" applyFont="1" applyFill="1" applyBorder="1" applyAlignment="1" applyProtection="1">
      <alignment horizontal="center" vertical="center" wrapText="1"/>
    </xf>
    <xf numFmtId="0" fontId="0" fillId="19" borderId="0" xfId="0" applyFill="1" applyAlignment="1">
      <alignment horizontal="center"/>
    </xf>
    <xf numFmtId="0" fontId="8" fillId="0" borderId="0" xfId="38" applyFont="1" applyAlignment="1">
      <alignment horizontal="left"/>
    </xf>
    <xf numFmtId="0" fontId="0" fillId="0" borderId="0" xfId="0" applyAlignment="1">
      <alignment vertical="center"/>
    </xf>
    <xf numFmtId="0" fontId="0" fillId="0" borderId="26" xfId="0" applyBorder="1" applyAlignment="1">
      <alignment horizontal="center" vertical="center" wrapText="1"/>
    </xf>
    <xf numFmtId="166" fontId="0" fillId="0" borderId="27" xfId="37" applyNumberFormat="1" applyFont="1" applyFill="1" applyBorder="1" applyAlignment="1" applyProtection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16" borderId="29" xfId="0" applyNumberFormat="1" applyFill="1" applyBorder="1" applyAlignment="1">
      <alignment horizontal="center" vertical="center" wrapText="1"/>
    </xf>
    <xf numFmtId="168" fontId="0" fillId="16" borderId="30" xfId="0" applyNumberFormat="1" applyFill="1" applyBorder="1" applyAlignment="1">
      <alignment horizontal="center" vertical="center" wrapText="1"/>
    </xf>
    <xf numFmtId="168" fontId="0" fillId="16" borderId="31" xfId="0" applyNumberFormat="1" applyFill="1" applyBorder="1" applyAlignment="1">
      <alignment horizontal="center" vertical="center" wrapText="1"/>
    </xf>
    <xf numFmtId="168" fontId="0" fillId="16" borderId="32" xfId="0" applyNumberForma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19" borderId="0" xfId="0" applyFill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166" fontId="28" fillId="0" borderId="0" xfId="37" applyNumberFormat="1" applyFont="1" applyAlignment="1" applyProtection="1">
      <alignment horizontal="center" vertical="center" wrapText="1"/>
    </xf>
    <xf numFmtId="0" fontId="28" fillId="0" borderId="0" xfId="0" applyFont="1" applyAlignment="1">
      <alignment horizontal="center"/>
    </xf>
    <xf numFmtId="0" fontId="8" fillId="0" borderId="19" xfId="38" applyFont="1" applyBorder="1" applyAlignment="1">
      <alignment horizontal="left" vertical="center" wrapText="1"/>
    </xf>
    <xf numFmtId="169" fontId="0" fillId="17" borderId="14" xfId="37" applyNumberFormat="1" applyFont="1" applyFill="1" applyBorder="1" applyAlignment="1" applyProtection="1">
      <alignment horizontal="center" vertical="center" wrapText="1"/>
    </xf>
    <xf numFmtId="0" fontId="0" fillId="16" borderId="14" xfId="0" applyFill="1" applyBorder="1" applyAlignment="1">
      <alignment horizontal="center" vertical="center"/>
    </xf>
    <xf numFmtId="170" fontId="0" fillId="16" borderId="14" xfId="0" applyNumberFormat="1" applyFill="1" applyBorder="1" applyAlignment="1">
      <alignment horizontal="center" vertical="center"/>
    </xf>
    <xf numFmtId="171" fontId="0" fillId="14" borderId="14" xfId="0" applyNumberFormat="1" applyFill="1" applyBorder="1" applyAlignment="1">
      <alignment horizontal="center" vertical="center"/>
    </xf>
    <xf numFmtId="0" fontId="8" fillId="0" borderId="21" xfId="38" applyFont="1" applyBorder="1" applyAlignment="1">
      <alignment horizontal="left" vertical="center" wrapText="1"/>
    </xf>
    <xf numFmtId="169" fontId="0" fillId="17" borderId="11" xfId="37" applyNumberFormat="1" applyFont="1" applyFill="1" applyBorder="1" applyAlignment="1" applyProtection="1">
      <alignment horizontal="center" vertical="center" wrapText="1"/>
    </xf>
    <xf numFmtId="0" fontId="0" fillId="16" borderId="11" xfId="0" applyFill="1" applyBorder="1" applyAlignment="1">
      <alignment horizontal="center" vertical="center"/>
    </xf>
    <xf numFmtId="171" fontId="0" fillId="14" borderId="11" xfId="0" applyNumberFormat="1" applyFill="1" applyBorder="1" applyAlignment="1">
      <alignment horizontal="center" vertical="center"/>
    </xf>
    <xf numFmtId="0" fontId="8" fillId="0" borderId="29" xfId="38" applyFont="1" applyBorder="1" applyAlignment="1">
      <alignment horizontal="left" vertical="center" wrapText="1"/>
    </xf>
    <xf numFmtId="169" fontId="0" fillId="17" borderId="31" xfId="37" applyNumberFormat="1" applyFont="1" applyFill="1" applyBorder="1" applyAlignment="1" applyProtection="1">
      <alignment horizontal="center" vertical="center" wrapText="1"/>
    </xf>
    <xf numFmtId="0" fontId="0" fillId="16" borderId="31" xfId="0" applyFill="1" applyBorder="1" applyAlignment="1">
      <alignment horizontal="center" vertical="center"/>
    </xf>
    <xf numFmtId="170" fontId="0" fillId="16" borderId="31" xfId="0" applyNumberFormat="1" applyFill="1" applyBorder="1" applyAlignment="1">
      <alignment horizontal="center" vertical="center"/>
    </xf>
    <xf numFmtId="171" fontId="0" fillId="14" borderId="31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left"/>
    </xf>
    <xf numFmtId="3" fontId="0" fillId="14" borderId="17" xfId="0" applyNumberForma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2" fontId="0" fillId="0" borderId="27" xfId="0" applyNumberFormat="1" applyBorder="1" applyAlignment="1">
      <alignment horizontal="center" vertical="center" wrapText="1"/>
    </xf>
    <xf numFmtId="166" fontId="0" fillId="0" borderId="27" xfId="37" applyNumberFormat="1" applyFont="1" applyBorder="1" applyAlignment="1" applyProtection="1">
      <alignment horizontal="center" vertical="center" wrapText="1"/>
    </xf>
    <xf numFmtId="166" fontId="0" fillId="0" borderId="28" xfId="37" applyNumberFormat="1" applyFont="1" applyBorder="1" applyAlignment="1" applyProtection="1">
      <alignment horizontal="center" vertical="center" wrapText="1"/>
    </xf>
    <xf numFmtId="166" fontId="0" fillId="0" borderId="0" xfId="37" applyNumberFormat="1" applyFont="1" applyBorder="1" applyAlignment="1" applyProtection="1">
      <alignment horizontal="center" vertical="center" wrapText="1"/>
    </xf>
    <xf numFmtId="0" fontId="0" fillId="0" borderId="29" xfId="0" applyBorder="1" applyAlignment="1">
      <alignment vertical="center"/>
    </xf>
    <xf numFmtId="2" fontId="0" fillId="14" borderId="31" xfId="0" applyNumberFormat="1" applyFill="1" applyBorder="1" applyAlignment="1">
      <alignment horizontal="center" vertical="center" wrapText="1"/>
    </xf>
    <xf numFmtId="2" fontId="0" fillId="14" borderId="31" xfId="0" applyNumberFormat="1" applyFill="1" applyBorder="1" applyAlignment="1">
      <alignment horizontal="center" vertical="center"/>
    </xf>
    <xf numFmtId="2" fontId="0" fillId="14" borderId="32" xfId="0" applyNumberFormat="1" applyFill="1" applyBorder="1" applyAlignment="1">
      <alignment horizontal="center" vertical="center"/>
    </xf>
    <xf numFmtId="4" fontId="0" fillId="19" borderId="0" xfId="0" applyNumberFormat="1" applyFill="1" applyAlignment="1">
      <alignment horizontal="center"/>
    </xf>
    <xf numFmtId="0" fontId="30" fillId="19" borderId="0" xfId="0" applyFont="1" applyFill="1"/>
    <xf numFmtId="4" fontId="28" fillId="19" borderId="35" xfId="0" applyNumberFormat="1" applyFont="1" applyFill="1" applyBorder="1" applyAlignment="1">
      <alignment horizontal="center"/>
    </xf>
    <xf numFmtId="1" fontId="0" fillId="19" borderId="38" xfId="0" applyNumberFormat="1" applyFill="1" applyBorder="1" applyAlignment="1">
      <alignment horizontal="center"/>
    </xf>
    <xf numFmtId="4" fontId="0" fillId="19" borderId="0" xfId="0" applyNumberFormat="1" applyFill="1" applyAlignment="1">
      <alignment horizontal="left"/>
    </xf>
    <xf numFmtId="168" fontId="0" fillId="19" borderId="0" xfId="0" applyNumberFormat="1" applyFill="1" applyAlignment="1">
      <alignment horizontal="center" vertical="center"/>
    </xf>
    <xf numFmtId="4" fontId="0" fillId="19" borderId="41" xfId="0" applyNumberFormat="1" applyFill="1" applyBorder="1" applyAlignment="1">
      <alignment horizontal="left"/>
    </xf>
    <xf numFmtId="170" fontId="0" fillId="19" borderId="0" xfId="0" applyNumberFormat="1" applyFill="1" applyAlignment="1">
      <alignment horizontal="center" vertical="center"/>
    </xf>
    <xf numFmtId="0" fontId="0" fillId="19" borderId="16" xfId="0" applyFill="1" applyBorder="1" applyAlignment="1">
      <alignment horizontal="center"/>
    </xf>
    <xf numFmtId="0" fontId="0" fillId="19" borderId="18" xfId="0" applyFill="1" applyBorder="1" applyAlignment="1">
      <alignment horizontal="center"/>
    </xf>
    <xf numFmtId="0" fontId="0" fillId="19" borderId="48" xfId="0" applyFill="1" applyBorder="1" applyAlignment="1">
      <alignment horizontal="center"/>
    </xf>
    <xf numFmtId="172" fontId="0" fillId="20" borderId="39" xfId="0" applyNumberFormat="1" applyFill="1" applyBorder="1" applyAlignment="1">
      <alignment horizontal="center"/>
    </xf>
    <xf numFmtId="172" fontId="0" fillId="20" borderId="47" xfId="0" applyNumberFormat="1" applyFill="1" applyBorder="1" applyAlignment="1">
      <alignment horizontal="center"/>
    </xf>
    <xf numFmtId="172" fontId="0" fillId="20" borderId="33" xfId="0" applyNumberFormat="1" applyFill="1" applyBorder="1" applyAlignment="1">
      <alignment horizontal="center"/>
    </xf>
    <xf numFmtId="0" fontId="0" fillId="0" borderId="0" xfId="0" applyAlignment="1">
      <alignment wrapText="1"/>
    </xf>
    <xf numFmtId="171" fontId="34" fillId="16" borderId="22" xfId="0" applyNumberFormat="1" applyFont="1" applyFill="1" applyBorder="1" applyAlignment="1">
      <alignment horizontal="center"/>
    </xf>
    <xf numFmtId="171" fontId="34" fillId="16" borderId="28" xfId="0" applyNumberFormat="1" applyFont="1" applyFill="1" applyBorder="1" applyAlignment="1">
      <alignment horizontal="center"/>
    </xf>
    <xf numFmtId="10" fontId="34" fillId="18" borderId="22" xfId="0" applyNumberFormat="1" applyFont="1" applyFill="1" applyBorder="1" applyAlignment="1">
      <alignment horizontal="center" vertical="center"/>
    </xf>
    <xf numFmtId="3" fontId="34" fillId="16" borderId="22" xfId="0" applyNumberFormat="1" applyFont="1" applyFill="1" applyBorder="1" applyAlignment="1">
      <alignment horizontal="center"/>
    </xf>
    <xf numFmtId="172" fontId="34" fillId="18" borderId="32" xfId="0" applyNumberFormat="1" applyFont="1" applyFill="1" applyBorder="1" applyAlignment="1">
      <alignment horizontal="center" vertical="center"/>
    </xf>
    <xf numFmtId="1" fontId="0" fillId="19" borderId="0" xfId="0" applyNumberFormat="1" applyFill="1" applyAlignment="1">
      <alignment horizontal="center"/>
    </xf>
    <xf numFmtId="172" fontId="34" fillId="20" borderId="33" xfId="0" applyNumberFormat="1" applyFont="1" applyFill="1" applyBorder="1" applyAlignment="1">
      <alignment horizontal="center"/>
    </xf>
    <xf numFmtId="0" fontId="34" fillId="19" borderId="48" xfId="0" applyFont="1" applyFill="1" applyBorder="1" applyAlignment="1">
      <alignment horizontal="center"/>
    </xf>
    <xf numFmtId="173" fontId="0" fillId="19" borderId="0" xfId="0" applyNumberFormat="1" applyFill="1" applyAlignment="1">
      <alignment horizontal="center"/>
    </xf>
    <xf numFmtId="165" fontId="22" fillId="13" borderId="50" xfId="18" applyNumberFormat="1" applyFont="1" applyFill="1" applyBorder="1" applyAlignment="1">
      <alignment horizontal="center" vertical="center"/>
    </xf>
    <xf numFmtId="165" fontId="22" fillId="13" borderId="11" xfId="18" applyNumberFormat="1" applyFont="1" applyFill="1" applyBorder="1" applyAlignment="1">
      <alignment horizontal="center" vertical="center"/>
    </xf>
    <xf numFmtId="2" fontId="30" fillId="18" borderId="11" xfId="0" applyNumberFormat="1" applyFont="1" applyFill="1" applyBorder="1" applyAlignment="1" applyProtection="1">
      <alignment horizontal="center" vertical="center"/>
      <protection hidden="1"/>
    </xf>
    <xf numFmtId="0" fontId="27" fillId="0" borderId="15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6" fillId="14" borderId="9" xfId="18" applyFont="1" applyFill="1" applyBorder="1" applyAlignment="1">
      <alignment horizontal="center" vertical="center" wrapText="1"/>
    </xf>
    <xf numFmtId="0" fontId="26" fillId="14" borderId="10" xfId="18" applyFont="1" applyFill="1" applyBorder="1" applyAlignment="1">
      <alignment horizontal="center" vertical="center" wrapText="1"/>
    </xf>
    <xf numFmtId="0" fontId="26" fillId="14" borderId="8" xfId="18" applyFont="1" applyFill="1" applyBorder="1" applyAlignment="1">
      <alignment horizontal="center" vertical="center" wrapText="1"/>
    </xf>
    <xf numFmtId="0" fontId="6" fillId="14" borderId="8" xfId="18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/>
    <xf numFmtId="0" fontId="28" fillId="18" borderId="23" xfId="0" applyFont="1" applyFill="1" applyBorder="1" applyAlignment="1">
      <alignment horizontal="left"/>
    </xf>
    <xf numFmtId="0" fontId="28" fillId="18" borderId="24" xfId="0" applyFont="1" applyFill="1" applyBorder="1" applyAlignment="1">
      <alignment horizontal="left"/>
    </xf>
    <xf numFmtId="0" fontId="28" fillId="18" borderId="49" xfId="0" applyFont="1" applyFill="1" applyBorder="1" applyAlignment="1">
      <alignment horizontal="left"/>
    </xf>
  </cellXfs>
  <cellStyles count="39">
    <cellStyle name="20% - Énfasis3 2" xfId="1" xr:uid="{00000000-0005-0000-0000-000000000000}"/>
    <cellStyle name="A Question" xfId="2" xr:uid="{00000000-0005-0000-0000-000001000000}"/>
    <cellStyle name="Buena 2" xfId="3" xr:uid="{00000000-0005-0000-0000-000002000000}"/>
    <cellStyle name="Celda de comprobación 2" xfId="4" xr:uid="{00000000-0005-0000-0000-000003000000}"/>
    <cellStyle name="Celda vinculada 2" xfId="5" xr:uid="{00000000-0005-0000-0000-000004000000}"/>
    <cellStyle name="Encabezado 4 2" xfId="6" xr:uid="{00000000-0005-0000-0000-000005000000}"/>
    <cellStyle name="Entrada 2" xfId="7" xr:uid="{00000000-0005-0000-0000-000006000000}"/>
    <cellStyle name="Excel Built-in Normal" xfId="38" xr:uid="{00000000-0005-0000-0000-000007000000}"/>
    <cellStyle name="Hyperlink 2" xfId="8" xr:uid="{00000000-0005-0000-0000-000008000000}"/>
    <cellStyle name="Hyperlink 3" xfId="9" xr:uid="{00000000-0005-0000-0000-000009000000}"/>
    <cellStyle name="Input Field" xfId="10" xr:uid="{00000000-0005-0000-0000-00000A000000}"/>
    <cellStyle name="Input Type" xfId="11" xr:uid="{00000000-0005-0000-0000-00000B000000}"/>
    <cellStyle name="Internal link" xfId="12" xr:uid="{00000000-0005-0000-0000-00000C000000}"/>
    <cellStyle name="Lien hypertexte 2" xfId="13" xr:uid="{00000000-0005-0000-0000-00000D000000}"/>
    <cellStyle name="Lien hypertexte 3" xfId="14" xr:uid="{00000000-0005-0000-0000-00000E000000}"/>
    <cellStyle name="M2 Question" xfId="15" xr:uid="{00000000-0005-0000-0000-00000F000000}"/>
    <cellStyle name="M3 Question" xfId="16" xr:uid="{00000000-0005-0000-0000-000010000000}"/>
    <cellStyle name="Millares" xfId="37" builtinId="3"/>
    <cellStyle name="Millares 2" xfId="17" xr:uid="{00000000-0005-0000-0000-000012000000}"/>
    <cellStyle name="Normal" xfId="0" builtinId="0"/>
    <cellStyle name="Normal 2" xfId="18" xr:uid="{00000000-0005-0000-0000-000014000000}"/>
    <cellStyle name="Normál 2" xfId="19" xr:uid="{00000000-0005-0000-0000-000015000000}"/>
    <cellStyle name="Normal 2 2" xfId="20" xr:uid="{00000000-0005-0000-0000-000016000000}"/>
    <cellStyle name="Normal 2 3" xfId="21" xr:uid="{00000000-0005-0000-0000-000017000000}"/>
    <cellStyle name="Normal 2_Munkafüzet1" xfId="22" xr:uid="{00000000-0005-0000-0000-000018000000}"/>
    <cellStyle name="Normal 3" xfId="23" xr:uid="{00000000-0005-0000-0000-000019000000}"/>
    <cellStyle name="Normal 4" xfId="24" xr:uid="{00000000-0005-0000-0000-00001A000000}"/>
    <cellStyle name="Normal 5" xfId="25" xr:uid="{00000000-0005-0000-0000-00001B000000}"/>
    <cellStyle name="Normal 6" xfId="26" xr:uid="{00000000-0005-0000-0000-00001C000000}"/>
    <cellStyle name="Normal 7" xfId="27" xr:uid="{00000000-0005-0000-0000-00001D000000}"/>
    <cellStyle name="Normal 8" xfId="28" xr:uid="{00000000-0005-0000-0000-00001E000000}"/>
    <cellStyle name="Notas 2" xfId="29" xr:uid="{00000000-0005-0000-0000-00001F000000}"/>
    <cellStyle name="Percent 2" xfId="30" xr:uid="{00000000-0005-0000-0000-000020000000}"/>
    <cellStyle name="Percent 3" xfId="31" xr:uid="{00000000-0005-0000-0000-000021000000}"/>
    <cellStyle name="Pourcentage 2" xfId="32" xr:uid="{00000000-0005-0000-0000-000022000000}"/>
    <cellStyle name="Pourcentage 2 2" xfId="33" xr:uid="{00000000-0005-0000-0000-000023000000}"/>
    <cellStyle name="Subheading" xfId="34" xr:uid="{00000000-0005-0000-0000-000024000000}"/>
    <cellStyle name="Texto de advertencia 2" xfId="35" xr:uid="{00000000-0005-0000-0000-000025000000}"/>
    <cellStyle name="Título 1" xfId="36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57727</xdr:colOff>
      <xdr:row>155</xdr:row>
      <xdr:rowOff>34177</xdr:rowOff>
    </xdr:from>
    <xdr:to>
      <xdr:col>8</xdr:col>
      <xdr:colOff>906324</xdr:colOff>
      <xdr:row>177</xdr:row>
      <xdr:rowOff>56571</xdr:rowOff>
    </xdr:to>
    <xdr:pic>
      <xdr:nvPicPr>
        <xdr:cNvPr id="2" name="Imagen 1" descr="http://www.renfe.com/viajeros/feve/mapas/map_ferrol_oviedo_gijon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702" y="43230052"/>
          <a:ext cx="10116422" cy="4213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alorapfj\Desktop\Documentos\AAPP\CONVERSION%20UNIDADES%20-%20Factores%20Emis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 conversión"/>
    </sheetNames>
    <sheetDataSet>
      <sheetData sheetId="0" refreshError="1">
        <row r="7">
          <cell r="E7">
            <v>1.0030000000000001E-2</v>
          </cell>
        </row>
        <row r="12">
          <cell r="E12">
            <v>7.25</v>
          </cell>
        </row>
        <row r="30">
          <cell r="E30">
            <v>7.5221100000000003E-3</v>
          </cell>
        </row>
        <row r="31">
          <cell r="E31">
            <v>8.3539500000000006E-3</v>
          </cell>
        </row>
        <row r="34">
          <cell r="E34">
            <v>7.1399999999999996E-3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workbookViewId="0">
      <selection activeCell="K8" sqref="K8"/>
    </sheetView>
  </sheetViews>
  <sheetFormatPr baseColWidth="10" defaultColWidth="11.44140625" defaultRowHeight="13.8" x14ac:dyDescent="0.3"/>
  <cols>
    <col min="1" max="1" width="15.6640625" style="6" customWidth="1"/>
    <col min="2" max="2" width="20.6640625" style="2" customWidth="1"/>
    <col min="3" max="3" width="10.6640625" style="3" customWidth="1"/>
    <col min="4" max="5" width="11.44140625" style="2"/>
    <col min="6" max="6" width="11.44140625" style="4"/>
    <col min="7" max="16384" width="11.44140625" style="5"/>
  </cols>
  <sheetData>
    <row r="1" spans="1:12" x14ac:dyDescent="0.3">
      <c r="A1" s="1" t="s">
        <v>22</v>
      </c>
    </row>
    <row r="2" spans="1:12" x14ac:dyDescent="0.3">
      <c r="A2" s="6" t="s">
        <v>23</v>
      </c>
    </row>
    <row r="3" spans="1:12" ht="27.6" x14ac:dyDescent="0.3">
      <c r="A3" s="7" t="s">
        <v>24</v>
      </c>
      <c r="B3" s="8" t="s">
        <v>25</v>
      </c>
      <c r="C3" s="8" t="s">
        <v>26</v>
      </c>
      <c r="D3" s="8" t="s">
        <v>27</v>
      </c>
      <c r="E3" s="8" t="s">
        <v>28</v>
      </c>
      <c r="F3" s="9" t="s">
        <v>29</v>
      </c>
      <c r="H3" s="10"/>
      <c r="I3" s="6" t="s">
        <v>30</v>
      </c>
    </row>
    <row r="4" spans="1:12" ht="28.2" thickBot="1" x14ac:dyDescent="0.35">
      <c r="A4" s="7" t="s">
        <v>31</v>
      </c>
      <c r="B4" s="8" t="s">
        <v>32</v>
      </c>
      <c r="C4" s="11"/>
      <c r="D4" s="12" t="s">
        <v>33</v>
      </c>
      <c r="E4" s="13">
        <v>1E-3</v>
      </c>
      <c r="F4" s="224">
        <f>E4*C4</f>
        <v>0</v>
      </c>
      <c r="H4" s="15"/>
      <c r="I4" s="6" t="s">
        <v>34</v>
      </c>
      <c r="J4" s="16"/>
      <c r="K4" s="16"/>
      <c r="L4" s="16"/>
    </row>
    <row r="5" spans="1:12" ht="25.5" customHeight="1" thickBot="1" x14ac:dyDescent="0.35">
      <c r="A5" s="226" t="s">
        <v>35</v>
      </c>
      <c r="B5" s="8" t="s">
        <v>36</v>
      </c>
      <c r="C5" s="11"/>
      <c r="D5" s="12" t="s">
        <v>37</v>
      </c>
      <c r="E5" s="13">
        <f>0.85*11.8/1000</f>
        <v>1.0030000000000001E-2</v>
      </c>
      <c r="F5" s="224">
        <f>E5*C5</f>
        <v>0</v>
      </c>
      <c r="H5" s="17"/>
      <c r="I5" s="6" t="s">
        <v>38</v>
      </c>
      <c r="J5" s="16"/>
      <c r="K5" s="16"/>
      <c r="L5" s="16"/>
    </row>
    <row r="6" spans="1:12" ht="28.2" thickBot="1" x14ac:dyDescent="0.35">
      <c r="A6" s="226"/>
      <c r="B6" s="8" t="s">
        <v>39</v>
      </c>
      <c r="C6" s="11"/>
      <c r="D6" s="12" t="s">
        <v>37</v>
      </c>
      <c r="E6" s="13">
        <f>12.75*0.56/1000</f>
        <v>7.1400000000000005E-3</v>
      </c>
      <c r="F6" s="224">
        <f t="shared" ref="F6:F15" si="0">E6*C6</f>
        <v>0</v>
      </c>
      <c r="J6" s="16"/>
      <c r="K6" s="16"/>
      <c r="L6" s="16"/>
    </row>
    <row r="7" spans="1:12" ht="25.5" customHeight="1" thickBot="1" x14ac:dyDescent="0.35">
      <c r="A7" s="226"/>
      <c r="B7" s="227" t="s">
        <v>40</v>
      </c>
      <c r="C7" s="11"/>
      <c r="D7" s="12" t="s">
        <v>33</v>
      </c>
      <c r="E7" s="13">
        <v>1E-3</v>
      </c>
      <c r="F7" s="224">
        <f t="shared" si="0"/>
        <v>0</v>
      </c>
      <c r="J7" s="16"/>
      <c r="K7" s="16"/>
      <c r="L7" s="16"/>
    </row>
    <row r="8" spans="1:12" ht="25.5" customHeight="1" thickBot="1" x14ac:dyDescent="0.35">
      <c r="A8" s="226"/>
      <c r="B8" s="228"/>
      <c r="C8" s="11"/>
      <c r="D8" s="12" t="s">
        <v>41</v>
      </c>
      <c r="E8" s="13">
        <f>40.474*0.00028</f>
        <v>1.1332719999999998E-2</v>
      </c>
      <c r="F8" s="224">
        <f t="shared" si="0"/>
        <v>0</v>
      </c>
      <c r="J8" s="16"/>
      <c r="K8" s="16"/>
      <c r="L8" s="16"/>
    </row>
    <row r="9" spans="1:12" ht="28.2" thickBot="1" x14ac:dyDescent="0.35">
      <c r="A9" s="226"/>
      <c r="B9" s="8" t="s">
        <v>42</v>
      </c>
      <c r="C9" s="11"/>
      <c r="D9" s="12" t="s">
        <v>43</v>
      </c>
      <c r="E9" s="13">
        <v>3.71</v>
      </c>
      <c r="F9" s="224">
        <f t="shared" si="0"/>
        <v>0</v>
      </c>
      <c r="J9" s="16"/>
      <c r="K9" s="16"/>
      <c r="L9" s="16"/>
    </row>
    <row r="10" spans="1:12" ht="28.2" thickBot="1" x14ac:dyDescent="0.35">
      <c r="A10" s="226"/>
      <c r="B10" s="8" t="s">
        <v>44</v>
      </c>
      <c r="C10" s="11"/>
      <c r="D10" s="12" t="s">
        <v>43</v>
      </c>
      <c r="E10" s="13">
        <v>7.25</v>
      </c>
      <c r="F10" s="224">
        <f t="shared" si="0"/>
        <v>0</v>
      </c>
      <c r="J10" s="16"/>
      <c r="K10" s="16"/>
      <c r="L10" s="16"/>
    </row>
    <row r="11" spans="1:12" ht="28.2" thickBot="1" x14ac:dyDescent="0.35">
      <c r="A11" s="226" t="s">
        <v>45</v>
      </c>
      <c r="B11" s="8" t="s">
        <v>46</v>
      </c>
      <c r="C11" s="11"/>
      <c r="D11" s="12" t="s">
        <v>43</v>
      </c>
      <c r="E11" s="13">
        <v>3.92</v>
      </c>
      <c r="F11" s="224">
        <f t="shared" si="0"/>
        <v>0</v>
      </c>
      <c r="J11" s="16"/>
      <c r="K11" s="16"/>
      <c r="L11" s="16"/>
    </row>
    <row r="12" spans="1:12" ht="28.2" thickBot="1" x14ac:dyDescent="0.35">
      <c r="A12" s="226"/>
      <c r="B12" s="8" t="s">
        <v>47</v>
      </c>
      <c r="C12" s="11"/>
      <c r="D12" s="12" t="s">
        <v>37</v>
      </c>
      <c r="E12" s="13">
        <f>0.9189*0.8121*41.868*0.278/1000</f>
        <v>8.6856989694717619E-3</v>
      </c>
      <c r="F12" s="224">
        <f t="shared" si="0"/>
        <v>0</v>
      </c>
      <c r="J12" s="16"/>
      <c r="K12" s="16"/>
      <c r="L12" s="16"/>
    </row>
    <row r="13" spans="1:12" ht="28.2" thickBot="1" x14ac:dyDescent="0.35">
      <c r="A13" s="226"/>
      <c r="B13" s="8" t="s">
        <v>48</v>
      </c>
      <c r="C13" s="11"/>
      <c r="D13" s="12" t="s">
        <v>37</v>
      </c>
      <c r="E13" s="13">
        <f>0.4963*41.868*0.278/1000</f>
        <v>5.7765865752000016E-3</v>
      </c>
      <c r="F13" s="224">
        <f t="shared" si="0"/>
        <v>0</v>
      </c>
      <c r="J13" s="16"/>
      <c r="K13" s="16"/>
      <c r="L13" s="16"/>
    </row>
    <row r="14" spans="1:12" ht="27.6" x14ac:dyDescent="0.3">
      <c r="A14" s="226"/>
      <c r="B14" s="8" t="s">
        <v>49</v>
      </c>
      <c r="C14" s="11"/>
      <c r="D14" s="12" t="s">
        <v>33</v>
      </c>
      <c r="E14" s="13">
        <v>1E-3</v>
      </c>
      <c r="F14" s="224">
        <f t="shared" si="0"/>
        <v>0</v>
      </c>
    </row>
    <row r="15" spans="1:12" ht="27.6" x14ac:dyDescent="0.3">
      <c r="A15" s="226"/>
      <c r="B15" s="8" t="s">
        <v>50</v>
      </c>
      <c r="C15" s="11"/>
      <c r="D15" s="12" t="s">
        <v>33</v>
      </c>
      <c r="E15" s="13">
        <v>1E-3</v>
      </c>
      <c r="F15" s="224">
        <f t="shared" si="0"/>
        <v>0</v>
      </c>
    </row>
    <row r="16" spans="1:12" s="18" customFormat="1" ht="10.199999999999999" x14ac:dyDescent="0.2">
      <c r="A16" s="225" t="s">
        <v>51</v>
      </c>
      <c r="B16" s="225"/>
      <c r="C16" s="225"/>
      <c r="D16" s="225"/>
      <c r="E16" s="225"/>
      <c r="F16" s="225"/>
    </row>
    <row r="17" spans="1:6" s="18" customFormat="1" ht="10.199999999999999" x14ac:dyDescent="0.2">
      <c r="A17" s="19" t="s">
        <v>52</v>
      </c>
      <c r="B17" s="20"/>
      <c r="C17" s="20"/>
      <c r="D17" s="20"/>
      <c r="E17" s="21"/>
      <c r="F17" s="22"/>
    </row>
    <row r="18" spans="1:6" s="18" customFormat="1" ht="10.199999999999999" x14ac:dyDescent="0.2">
      <c r="A18" s="19" t="s">
        <v>53</v>
      </c>
      <c r="B18" s="20"/>
      <c r="C18" s="20"/>
      <c r="D18" s="20"/>
      <c r="E18" s="21"/>
      <c r="F18" s="22"/>
    </row>
    <row r="20" spans="1:6" x14ac:dyDescent="0.3">
      <c r="A20" s="6" t="s">
        <v>54</v>
      </c>
    </row>
    <row r="21" spans="1:6" ht="27.6" x14ac:dyDescent="0.3">
      <c r="A21" s="7" t="s">
        <v>24</v>
      </c>
      <c r="B21" s="8" t="s">
        <v>25</v>
      </c>
      <c r="C21" s="8" t="s">
        <v>26</v>
      </c>
      <c r="D21" s="8" t="s">
        <v>55</v>
      </c>
      <c r="E21" s="8" t="s">
        <v>28</v>
      </c>
      <c r="F21" s="9" t="s">
        <v>29</v>
      </c>
    </row>
    <row r="22" spans="1:6" ht="27.6" x14ac:dyDescent="0.3">
      <c r="A22" s="7" t="s">
        <v>31</v>
      </c>
      <c r="B22" s="8" t="s">
        <v>32</v>
      </c>
      <c r="C22" s="11"/>
      <c r="D22" s="12" t="s">
        <v>33</v>
      </c>
      <c r="E22" s="13">
        <v>1E-3</v>
      </c>
      <c r="F22" s="14">
        <f>E22*C22</f>
        <v>0</v>
      </c>
    </row>
    <row r="23" spans="1:6" x14ac:dyDescent="0.3">
      <c r="A23" s="225" t="s">
        <v>56</v>
      </c>
      <c r="B23" s="225"/>
      <c r="C23" s="225"/>
      <c r="D23" s="225"/>
      <c r="E23" s="225"/>
      <c r="F23" s="225"/>
    </row>
    <row r="24" spans="1:6" x14ac:dyDescent="0.3">
      <c r="A24" s="19"/>
      <c r="B24" s="19"/>
      <c r="C24" s="19"/>
      <c r="D24" s="19"/>
      <c r="E24" s="19"/>
      <c r="F24" s="23"/>
    </row>
    <row r="25" spans="1:6" x14ac:dyDescent="0.3">
      <c r="A25" s="6" t="s">
        <v>57</v>
      </c>
    </row>
    <row r="26" spans="1:6" ht="27.6" x14ac:dyDescent="0.3">
      <c r="A26" s="7" t="s">
        <v>24</v>
      </c>
      <c r="B26" s="8" t="s">
        <v>25</v>
      </c>
      <c r="C26" s="8" t="s">
        <v>26</v>
      </c>
      <c r="D26" s="8" t="s">
        <v>55</v>
      </c>
      <c r="E26" s="8" t="s">
        <v>28</v>
      </c>
      <c r="F26" s="9" t="s">
        <v>29</v>
      </c>
    </row>
    <row r="27" spans="1:6" ht="27.6" x14ac:dyDescent="0.3">
      <c r="A27" s="7" t="s">
        <v>31</v>
      </c>
      <c r="B27" s="8" t="s">
        <v>32</v>
      </c>
      <c r="C27" s="11"/>
      <c r="D27" s="12" t="s">
        <v>33</v>
      </c>
      <c r="E27" s="13">
        <v>1E-3</v>
      </c>
      <c r="F27" s="14">
        <f t="shared" ref="F27:F33" si="1">E27*C27</f>
        <v>0</v>
      </c>
    </row>
    <row r="28" spans="1:6" ht="27.6" x14ac:dyDescent="0.3">
      <c r="A28" s="226" t="s">
        <v>35</v>
      </c>
      <c r="B28" s="8" t="s">
        <v>58</v>
      </c>
      <c r="C28" s="11"/>
      <c r="D28" s="12" t="s">
        <v>37</v>
      </c>
      <c r="E28" s="13">
        <f>0.745*34.78*0.00028</f>
        <v>7.2551079999999997E-3</v>
      </c>
      <c r="F28" s="14">
        <f t="shared" si="1"/>
        <v>0</v>
      </c>
    </row>
    <row r="29" spans="1:6" ht="27.6" x14ac:dyDescent="0.3">
      <c r="A29" s="226"/>
      <c r="B29" s="8" t="s">
        <v>59</v>
      </c>
      <c r="C29" s="11"/>
      <c r="D29" s="12" t="s">
        <v>37</v>
      </c>
      <c r="E29" s="13">
        <v>1.0030000000000001E-2</v>
      </c>
      <c r="F29" s="14">
        <f t="shared" si="1"/>
        <v>0</v>
      </c>
    </row>
    <row r="30" spans="1:6" ht="25.5" customHeight="1" x14ac:dyDescent="0.3">
      <c r="A30" s="226"/>
      <c r="B30" s="227" t="s">
        <v>40</v>
      </c>
      <c r="C30" s="11"/>
      <c r="D30" s="12" t="s">
        <v>33</v>
      </c>
      <c r="E30" s="13">
        <v>1E-3</v>
      </c>
      <c r="F30" s="14">
        <f t="shared" si="1"/>
        <v>0</v>
      </c>
    </row>
    <row r="31" spans="1:6" ht="25.5" customHeight="1" x14ac:dyDescent="0.3">
      <c r="A31" s="226"/>
      <c r="B31" s="228"/>
      <c r="C31" s="11"/>
      <c r="D31" s="12" t="s">
        <v>41</v>
      </c>
      <c r="E31" s="13">
        <f>40.474/3600</f>
        <v>1.1242777777777777E-2</v>
      </c>
      <c r="F31" s="14">
        <f t="shared" si="1"/>
        <v>0</v>
      </c>
    </row>
    <row r="32" spans="1:6" ht="27.6" x14ac:dyDescent="0.3">
      <c r="A32" s="226"/>
      <c r="B32" s="8" t="s">
        <v>39</v>
      </c>
      <c r="C32" s="11"/>
      <c r="D32" s="12" t="s">
        <v>37</v>
      </c>
      <c r="E32" s="13">
        <f>12.75*0.56/1000</f>
        <v>7.1400000000000005E-3</v>
      </c>
      <c r="F32" s="14">
        <f t="shared" si="1"/>
        <v>0</v>
      </c>
    </row>
    <row r="33" spans="1:6" ht="27.6" x14ac:dyDescent="0.3">
      <c r="A33" s="7" t="s">
        <v>45</v>
      </c>
      <c r="B33" s="8" t="s">
        <v>60</v>
      </c>
      <c r="C33" s="11"/>
      <c r="D33" s="12" t="s">
        <v>37</v>
      </c>
      <c r="E33" s="13">
        <f>0.88*10.25/1000</f>
        <v>9.0200000000000002E-3</v>
      </c>
      <c r="F33" s="14">
        <f t="shared" si="1"/>
        <v>0</v>
      </c>
    </row>
    <row r="34" spans="1:6" s="18" customFormat="1" ht="10.199999999999999" x14ac:dyDescent="0.2">
      <c r="A34" s="225" t="s">
        <v>51</v>
      </c>
      <c r="B34" s="225"/>
      <c r="C34" s="225"/>
      <c r="D34" s="225"/>
      <c r="E34" s="225"/>
      <c r="F34" s="225"/>
    </row>
    <row r="36" spans="1:6" x14ac:dyDescent="0.3">
      <c r="A36" s="6" t="s">
        <v>61</v>
      </c>
    </row>
    <row r="37" spans="1:6" ht="27.6" x14ac:dyDescent="0.3">
      <c r="A37" s="7" t="s">
        <v>24</v>
      </c>
      <c r="B37" s="8" t="s">
        <v>25</v>
      </c>
      <c r="C37" s="8" t="s">
        <v>26</v>
      </c>
      <c r="D37" s="8" t="s">
        <v>55</v>
      </c>
      <c r="E37" s="8" t="s">
        <v>28</v>
      </c>
      <c r="F37" s="9" t="s">
        <v>29</v>
      </c>
    </row>
    <row r="38" spans="1:6" ht="27.6" x14ac:dyDescent="0.3">
      <c r="A38" s="7" t="s">
        <v>31</v>
      </c>
      <c r="B38" s="8" t="s">
        <v>32</v>
      </c>
      <c r="C38" s="11"/>
      <c r="D38" s="12" t="s">
        <v>33</v>
      </c>
      <c r="E38" s="13">
        <v>1E-3</v>
      </c>
      <c r="F38" s="14">
        <f t="shared" ref="F38:F44" si="2">E38*C38</f>
        <v>0</v>
      </c>
    </row>
    <row r="39" spans="1:6" ht="27.6" x14ac:dyDescent="0.3">
      <c r="A39" s="226" t="s">
        <v>35</v>
      </c>
      <c r="B39" s="8" t="s">
        <v>58</v>
      </c>
      <c r="C39" s="11"/>
      <c r="D39" s="12" t="s">
        <v>37</v>
      </c>
      <c r="E39" s="13">
        <f>0.745*34.78*0.00028</f>
        <v>7.2551079999999997E-3</v>
      </c>
      <c r="F39" s="14">
        <f t="shared" si="2"/>
        <v>0</v>
      </c>
    </row>
    <row r="40" spans="1:6" ht="27.6" x14ac:dyDescent="0.3">
      <c r="A40" s="226"/>
      <c r="B40" s="8" t="s">
        <v>59</v>
      </c>
      <c r="C40" s="11"/>
      <c r="D40" s="12" t="s">
        <v>37</v>
      </c>
      <c r="E40" s="13">
        <v>1.0030000000000001E-2</v>
      </c>
      <c r="F40" s="14">
        <f t="shared" si="2"/>
        <v>0</v>
      </c>
    </row>
    <row r="41" spans="1:6" ht="25.5" customHeight="1" x14ac:dyDescent="0.3">
      <c r="A41" s="226"/>
      <c r="B41" s="227" t="s">
        <v>40</v>
      </c>
      <c r="C41" s="11"/>
      <c r="D41" s="12" t="s">
        <v>33</v>
      </c>
      <c r="E41" s="13">
        <v>1E-3</v>
      </c>
      <c r="F41" s="14">
        <f t="shared" si="2"/>
        <v>0</v>
      </c>
    </row>
    <row r="42" spans="1:6" ht="25.5" customHeight="1" x14ac:dyDescent="0.3">
      <c r="A42" s="226"/>
      <c r="B42" s="228"/>
      <c r="C42" s="11"/>
      <c r="D42" s="12" t="s">
        <v>41</v>
      </c>
      <c r="E42" s="13">
        <f>40.474/3600</f>
        <v>1.1242777777777777E-2</v>
      </c>
      <c r="F42" s="14">
        <f t="shared" si="2"/>
        <v>0</v>
      </c>
    </row>
    <row r="43" spans="1:6" ht="27.6" x14ac:dyDescent="0.3">
      <c r="A43" s="226"/>
      <c r="B43" s="8" t="s">
        <v>39</v>
      </c>
      <c r="C43" s="11"/>
      <c r="D43" s="12" t="s">
        <v>37</v>
      </c>
      <c r="E43" s="13">
        <f>12.75*0.56/1000</f>
        <v>7.1400000000000005E-3</v>
      </c>
      <c r="F43" s="14">
        <f t="shared" si="2"/>
        <v>0</v>
      </c>
    </row>
    <row r="44" spans="1:6" ht="27.6" x14ac:dyDescent="0.3">
      <c r="A44" s="7" t="s">
        <v>45</v>
      </c>
      <c r="B44" s="8" t="s">
        <v>60</v>
      </c>
      <c r="C44" s="11"/>
      <c r="D44" s="12" t="s">
        <v>37</v>
      </c>
      <c r="E44" s="13">
        <f>0.88*10.25/1000</f>
        <v>9.0200000000000002E-3</v>
      </c>
      <c r="F44" s="14">
        <f t="shared" si="2"/>
        <v>0</v>
      </c>
    </row>
    <row r="45" spans="1:6" s="18" customFormat="1" ht="10.199999999999999" x14ac:dyDescent="0.2">
      <c r="A45" s="225" t="s">
        <v>51</v>
      </c>
      <c r="B45" s="225"/>
      <c r="C45" s="225"/>
      <c r="D45" s="225"/>
      <c r="E45" s="225"/>
      <c r="F45" s="225"/>
    </row>
    <row r="47" spans="1:6" x14ac:dyDescent="0.3">
      <c r="A47" s="6" t="s">
        <v>62</v>
      </c>
    </row>
    <row r="48" spans="1:6" ht="27.6" x14ac:dyDescent="0.3">
      <c r="A48" s="7" t="s">
        <v>24</v>
      </c>
      <c r="B48" s="8" t="s">
        <v>25</v>
      </c>
      <c r="C48" s="8" t="s">
        <v>26</v>
      </c>
      <c r="D48" s="8" t="s">
        <v>55</v>
      </c>
      <c r="E48" s="8" t="s">
        <v>28</v>
      </c>
      <c r="F48" s="9" t="s">
        <v>29</v>
      </c>
    </row>
    <row r="49" spans="1:6" ht="27.6" x14ac:dyDescent="0.3">
      <c r="A49" s="7" t="s">
        <v>63</v>
      </c>
      <c r="B49" s="8" t="s">
        <v>64</v>
      </c>
      <c r="C49" s="11"/>
      <c r="D49" s="12" t="s">
        <v>33</v>
      </c>
      <c r="E49" s="13">
        <v>1E-3</v>
      </c>
      <c r="F49" s="14">
        <f>C49*E49</f>
        <v>0</v>
      </c>
    </row>
    <row r="51" spans="1:6" x14ac:dyDescent="0.3">
      <c r="A51" s="6" t="s">
        <v>65</v>
      </c>
    </row>
    <row r="52" spans="1:6" ht="27.6" x14ac:dyDescent="0.3">
      <c r="A52" s="7" t="s">
        <v>24</v>
      </c>
      <c r="B52" s="8" t="s">
        <v>25</v>
      </c>
      <c r="C52" s="8" t="s">
        <v>26</v>
      </c>
      <c r="D52" s="8" t="s">
        <v>55</v>
      </c>
      <c r="E52" s="8" t="s">
        <v>28</v>
      </c>
      <c r="F52" s="9" t="s">
        <v>29</v>
      </c>
    </row>
    <row r="53" spans="1:6" ht="27.6" x14ac:dyDescent="0.3">
      <c r="A53" s="7" t="s">
        <v>66</v>
      </c>
      <c r="B53" s="8" t="s">
        <v>67</v>
      </c>
      <c r="C53" s="11"/>
      <c r="D53" s="12" t="s">
        <v>68</v>
      </c>
      <c r="E53" s="13">
        <v>1</v>
      </c>
      <c r="F53" s="14">
        <f>E53*C53</f>
        <v>0</v>
      </c>
    </row>
    <row r="54" spans="1:6" ht="41.4" x14ac:dyDescent="0.3">
      <c r="A54" s="7" t="s">
        <v>69</v>
      </c>
      <c r="B54" s="8" t="s">
        <v>67</v>
      </c>
      <c r="C54" s="11"/>
      <c r="D54" s="12" t="s">
        <v>68</v>
      </c>
      <c r="E54" s="13">
        <v>1</v>
      </c>
      <c r="F54" s="14">
        <f>E54*C54</f>
        <v>0</v>
      </c>
    </row>
    <row r="55" spans="1:6" ht="41.4" x14ac:dyDescent="0.3">
      <c r="A55" s="7" t="s">
        <v>70</v>
      </c>
      <c r="B55" s="8" t="s">
        <v>67</v>
      </c>
      <c r="C55" s="11"/>
      <c r="D55" s="12" t="s">
        <v>68</v>
      </c>
      <c r="E55" s="13">
        <v>1</v>
      </c>
      <c r="F55" s="14">
        <f>E55*C55</f>
        <v>0</v>
      </c>
    </row>
    <row r="56" spans="1:6" ht="41.4" x14ac:dyDescent="0.3">
      <c r="A56" s="7" t="s">
        <v>71</v>
      </c>
      <c r="B56" s="8" t="s">
        <v>67</v>
      </c>
      <c r="C56" s="11"/>
      <c r="D56" s="12" t="s">
        <v>68</v>
      </c>
      <c r="E56" s="13">
        <v>1</v>
      </c>
      <c r="F56" s="14">
        <f>E56*C56</f>
        <v>0</v>
      </c>
    </row>
    <row r="58" spans="1:6" x14ac:dyDescent="0.3">
      <c r="A58" s="6" t="s">
        <v>72</v>
      </c>
    </row>
    <row r="59" spans="1:6" ht="27.6" x14ac:dyDescent="0.3">
      <c r="A59" s="7" t="s">
        <v>24</v>
      </c>
      <c r="B59" s="8" t="s">
        <v>25</v>
      </c>
      <c r="C59" s="8" t="s">
        <v>26</v>
      </c>
      <c r="D59" s="8" t="s">
        <v>55</v>
      </c>
      <c r="E59" s="8" t="s">
        <v>28</v>
      </c>
      <c r="F59" s="9" t="s">
        <v>29</v>
      </c>
    </row>
    <row r="60" spans="1:6" ht="41.4" x14ac:dyDescent="0.3">
      <c r="A60" s="7" t="s">
        <v>73</v>
      </c>
      <c r="B60" s="8" t="s">
        <v>67</v>
      </c>
      <c r="C60" s="11"/>
      <c r="D60" s="12" t="s">
        <v>68</v>
      </c>
      <c r="E60" s="13">
        <v>1</v>
      </c>
      <c r="F60" s="14">
        <f t="shared" ref="F60:F68" si="3">E60*C60</f>
        <v>0</v>
      </c>
    </row>
    <row r="61" spans="1:6" ht="41.4" x14ac:dyDescent="0.3">
      <c r="A61" s="7" t="s">
        <v>74</v>
      </c>
      <c r="B61" s="8" t="s">
        <v>67</v>
      </c>
      <c r="C61" s="11"/>
      <c r="D61" s="12" t="s">
        <v>68</v>
      </c>
      <c r="E61" s="13">
        <v>1</v>
      </c>
      <c r="F61" s="14">
        <f t="shared" si="3"/>
        <v>0</v>
      </c>
    </row>
    <row r="62" spans="1:6" ht="41.4" x14ac:dyDescent="0.3">
      <c r="A62" s="7" t="s">
        <v>75</v>
      </c>
      <c r="B62" s="8" t="s">
        <v>67</v>
      </c>
      <c r="C62" s="11"/>
      <c r="D62" s="12" t="s">
        <v>68</v>
      </c>
      <c r="E62" s="13">
        <v>1</v>
      </c>
      <c r="F62" s="14">
        <f t="shared" si="3"/>
        <v>0</v>
      </c>
    </row>
    <row r="63" spans="1:6" ht="41.4" x14ac:dyDescent="0.3">
      <c r="A63" s="7" t="s">
        <v>76</v>
      </c>
      <c r="B63" s="8" t="s">
        <v>67</v>
      </c>
      <c r="C63" s="11"/>
      <c r="D63" s="12" t="s">
        <v>68</v>
      </c>
      <c r="E63" s="13">
        <v>1</v>
      </c>
      <c r="F63" s="14">
        <f t="shared" si="3"/>
        <v>0</v>
      </c>
    </row>
    <row r="64" spans="1:6" ht="41.4" x14ac:dyDescent="0.3">
      <c r="A64" s="7" t="s">
        <v>77</v>
      </c>
      <c r="B64" s="8" t="s">
        <v>67</v>
      </c>
      <c r="C64" s="11"/>
      <c r="D64" s="12" t="s">
        <v>68</v>
      </c>
      <c r="E64" s="13">
        <v>1</v>
      </c>
      <c r="F64" s="14">
        <f t="shared" si="3"/>
        <v>0</v>
      </c>
    </row>
    <row r="65" spans="1:6" ht="41.4" x14ac:dyDescent="0.3">
      <c r="A65" s="7" t="s">
        <v>78</v>
      </c>
      <c r="B65" s="8" t="s">
        <v>67</v>
      </c>
      <c r="C65" s="11"/>
      <c r="D65" s="12" t="s">
        <v>68</v>
      </c>
      <c r="E65" s="13">
        <v>1</v>
      </c>
      <c r="F65" s="14">
        <f t="shared" si="3"/>
        <v>0</v>
      </c>
    </row>
    <row r="66" spans="1:6" ht="41.4" x14ac:dyDescent="0.3">
      <c r="A66" s="7" t="s">
        <v>79</v>
      </c>
      <c r="B66" s="8" t="s">
        <v>67</v>
      </c>
      <c r="C66" s="11"/>
      <c r="D66" s="12" t="s">
        <v>68</v>
      </c>
      <c r="E66" s="13">
        <v>1</v>
      </c>
      <c r="F66" s="14">
        <f t="shared" si="3"/>
        <v>0</v>
      </c>
    </row>
    <row r="67" spans="1:6" ht="55.2" x14ac:dyDescent="0.3">
      <c r="A67" s="7" t="s">
        <v>80</v>
      </c>
      <c r="B67" s="8" t="s">
        <v>67</v>
      </c>
      <c r="C67" s="11"/>
      <c r="D67" s="12" t="s">
        <v>68</v>
      </c>
      <c r="E67" s="13">
        <v>1</v>
      </c>
      <c r="F67" s="14">
        <f t="shared" si="3"/>
        <v>0</v>
      </c>
    </row>
    <row r="68" spans="1:6" ht="55.2" x14ac:dyDescent="0.3">
      <c r="A68" s="7" t="s">
        <v>81</v>
      </c>
      <c r="B68" s="8" t="s">
        <v>67</v>
      </c>
      <c r="C68" s="11"/>
      <c r="D68" s="12" t="s">
        <v>68</v>
      </c>
      <c r="E68" s="13">
        <v>1</v>
      </c>
      <c r="F68" s="14">
        <f t="shared" si="3"/>
        <v>0</v>
      </c>
    </row>
  </sheetData>
  <mergeCells count="11">
    <mergeCell ref="A34:F34"/>
    <mergeCell ref="A39:A43"/>
    <mergeCell ref="B41:B42"/>
    <mergeCell ref="A45:F45"/>
    <mergeCell ref="A5:A10"/>
    <mergeCell ref="B7:B8"/>
    <mergeCell ref="A11:A15"/>
    <mergeCell ref="A16:F16"/>
    <mergeCell ref="A23:F23"/>
    <mergeCell ref="A28:A32"/>
    <mergeCell ref="B30:B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R26"/>
  <sheetViews>
    <sheetView tabSelected="1" topLeftCell="A6" workbookViewId="0">
      <selection activeCell="L31" sqref="L31"/>
    </sheetView>
  </sheetViews>
  <sheetFormatPr baseColWidth="10" defaultColWidth="11.5546875" defaultRowHeight="14.4" x14ac:dyDescent="0.3"/>
  <sheetData>
    <row r="5" spans="1:18" ht="16.2" x14ac:dyDescent="0.3">
      <c r="A5" s="109"/>
      <c r="B5" s="110" t="s">
        <v>17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1:18" x14ac:dyDescent="0.3">
      <c r="A6" s="112"/>
      <c r="B6" s="113"/>
      <c r="C6" s="114"/>
      <c r="D6" s="114"/>
      <c r="E6" s="114"/>
      <c r="F6" s="115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18" ht="16.2" x14ac:dyDescent="0.3">
      <c r="A7" s="112"/>
      <c r="B7" s="116" t="s">
        <v>18</v>
      </c>
      <c r="C7" s="117"/>
      <c r="D7" s="116"/>
      <c r="E7" s="118"/>
      <c r="F7" s="114"/>
      <c r="G7" s="114"/>
      <c r="H7" s="112"/>
      <c r="I7" s="114"/>
      <c r="J7" s="114"/>
      <c r="K7" s="114"/>
      <c r="L7" s="114"/>
      <c r="M7" s="114"/>
      <c r="N7" s="114"/>
      <c r="O7" s="114"/>
      <c r="P7" s="114"/>
      <c r="Q7" s="114"/>
      <c r="R7" s="114"/>
    </row>
    <row r="8" spans="1:18" x14ac:dyDescent="0.3">
      <c r="A8" s="112"/>
      <c r="B8" s="119"/>
      <c r="C8" s="119"/>
      <c r="D8" s="119"/>
      <c r="E8" s="119"/>
      <c r="F8" s="120"/>
      <c r="G8" s="120"/>
      <c r="H8" s="120"/>
      <c r="I8" s="120"/>
      <c r="J8" s="120"/>
      <c r="K8" s="120"/>
      <c r="L8" s="119"/>
      <c r="M8" s="119"/>
      <c r="N8" s="119"/>
      <c r="O8" s="119"/>
      <c r="P8" s="119"/>
      <c r="Q8" s="119"/>
      <c r="R8" s="119"/>
    </row>
    <row r="9" spans="1:18" x14ac:dyDescent="0.3">
      <c r="A9" s="112"/>
      <c r="B9" s="121" t="s">
        <v>19</v>
      </c>
      <c r="C9" s="229" t="s">
        <v>0</v>
      </c>
      <c r="D9" s="230"/>
      <c r="E9" s="231" t="s">
        <v>1</v>
      </c>
      <c r="F9" s="231" t="s">
        <v>2</v>
      </c>
      <c r="G9" s="231"/>
      <c r="H9" s="231"/>
      <c r="I9" s="231"/>
      <c r="J9" s="231"/>
      <c r="K9" s="231"/>
      <c r="L9" s="231"/>
      <c r="M9" s="231"/>
      <c r="N9" s="232" t="s">
        <v>3</v>
      </c>
      <c r="O9" s="232"/>
      <c r="P9" s="232"/>
      <c r="Q9" s="232"/>
      <c r="R9" s="232"/>
    </row>
    <row r="10" spans="1:18" ht="41.4" x14ac:dyDescent="0.3">
      <c r="A10" s="112"/>
      <c r="B10" s="122" t="s">
        <v>20</v>
      </c>
      <c r="C10" s="123" t="s">
        <v>21</v>
      </c>
      <c r="D10" s="124" t="s">
        <v>4</v>
      </c>
      <c r="E10" s="231"/>
      <c r="F10" s="122" t="s">
        <v>5</v>
      </c>
      <c r="G10" s="122" t="s">
        <v>6</v>
      </c>
      <c r="H10" s="122" t="s">
        <v>7</v>
      </c>
      <c r="I10" s="125" t="s">
        <v>8</v>
      </c>
      <c r="J10" s="125" t="s">
        <v>9</v>
      </c>
      <c r="K10" s="122" t="s">
        <v>10</v>
      </c>
      <c r="L10" s="122" t="s">
        <v>11</v>
      </c>
      <c r="M10" s="125" t="s">
        <v>174</v>
      </c>
      <c r="N10" s="122" t="s">
        <v>12</v>
      </c>
      <c r="O10" s="122" t="s">
        <v>13</v>
      </c>
      <c r="P10" s="122" t="s">
        <v>14</v>
      </c>
      <c r="Q10" s="122" t="s">
        <v>15</v>
      </c>
      <c r="R10" s="122" t="s">
        <v>16</v>
      </c>
    </row>
    <row r="11" spans="1:18" x14ac:dyDescent="0.3">
      <c r="A11" s="126"/>
      <c r="B11" s="127">
        <v>2010</v>
      </c>
      <c r="C11" s="128">
        <v>0.254</v>
      </c>
      <c r="D11" s="128"/>
      <c r="E11" s="128"/>
      <c r="F11" s="128">
        <v>0.20200000000000001</v>
      </c>
      <c r="G11" s="128">
        <f>(1.671/1000)/'[1]Factores conversión'!$E$34</f>
        <v>0.23403361344537815</v>
      </c>
      <c r="H11" s="128">
        <f>(2.868/1000)/'[1]Factores conversión'!$E$7</f>
        <v>0.2859421734795613</v>
      </c>
      <c r="I11" s="128">
        <f>(2.653/1000)/'[1]Factores conversión'!$E$31</f>
        <v>0.31757432112952555</v>
      </c>
      <c r="J11" s="128">
        <f>(2.295/1000)/'[1]Factores conversión'!$E$30</f>
        <v>0.30510056353868792</v>
      </c>
      <c r="K11" s="128"/>
      <c r="L11" s="128">
        <f>2.579/'[1]Factores conversión'!$E$12</f>
        <v>0.35572413793103452</v>
      </c>
      <c r="M11" s="128">
        <v>0.23363981308814952</v>
      </c>
      <c r="N11" s="128">
        <v>0</v>
      </c>
      <c r="O11" s="128">
        <v>0</v>
      </c>
      <c r="P11" s="128">
        <v>0</v>
      </c>
      <c r="Q11" s="128">
        <v>0</v>
      </c>
      <c r="R11" s="128">
        <v>0</v>
      </c>
    </row>
    <row r="12" spans="1:18" x14ac:dyDescent="0.3">
      <c r="B12" s="127">
        <v>2011</v>
      </c>
      <c r="C12" s="128">
        <v>0.32200000000000001</v>
      </c>
      <c r="D12" s="128"/>
      <c r="E12" s="128"/>
      <c r="F12" s="128">
        <v>0.20200000000000001</v>
      </c>
      <c r="G12" s="128">
        <f>(1.671/1000)/'[1]Factores conversión'!$E$34</f>
        <v>0.23403361344537815</v>
      </c>
      <c r="H12" s="128">
        <f>(2.868/1000)/'[1]Factores conversión'!$E$7</f>
        <v>0.2859421734795613</v>
      </c>
      <c r="I12" s="128">
        <f>(2.493/1000)/'[1]Factores conversión'!$E$31</f>
        <v>0.29842170470256585</v>
      </c>
      <c r="J12" s="128">
        <f>(2.205/1000)/'[1]Factores conversión'!$E$30</f>
        <v>0.29313583555677858</v>
      </c>
      <c r="K12" s="128"/>
      <c r="L12" s="128">
        <f>2.579/'[1]Factores conversión'!$E$12</f>
        <v>0.35572413793103452</v>
      </c>
      <c r="M12" s="128">
        <v>0.23363981308814952</v>
      </c>
      <c r="N12" s="128">
        <v>0</v>
      </c>
      <c r="O12" s="128">
        <v>0</v>
      </c>
      <c r="P12" s="128">
        <v>0</v>
      </c>
      <c r="Q12" s="128">
        <v>0</v>
      </c>
      <c r="R12" s="128">
        <v>0</v>
      </c>
    </row>
    <row r="13" spans="1:18" x14ac:dyDescent="0.3">
      <c r="B13" s="127">
        <v>2012</v>
      </c>
      <c r="C13" s="128">
        <v>0.35899999999999999</v>
      </c>
      <c r="D13" s="128"/>
      <c r="E13" s="128"/>
      <c r="F13" s="128">
        <v>0.20200000000000001</v>
      </c>
      <c r="G13" s="128">
        <f>(1.671/1000)/'[1]Factores conversión'!$E$34</f>
        <v>0.23403361344537815</v>
      </c>
      <c r="H13" s="128">
        <f>(2.868/1000)/'[1]Factores conversión'!$E$7</f>
        <v>0.2859421734795613</v>
      </c>
      <c r="I13" s="128">
        <f>(2.467/1000)/'[1]Factores conversión'!$E$31</f>
        <v>0.29530940453318488</v>
      </c>
      <c r="J13" s="128">
        <f>(2.201/1000)/'[1]Factores conversión'!$E$30</f>
        <v>0.29260406986869381</v>
      </c>
      <c r="K13" s="128"/>
      <c r="L13" s="128">
        <f>2.579/'[1]Factores conversión'!$E$12</f>
        <v>0.35572413793103452</v>
      </c>
      <c r="M13" s="128">
        <v>0.23363981308814952</v>
      </c>
      <c r="N13" s="128">
        <v>0</v>
      </c>
      <c r="O13" s="128">
        <v>0</v>
      </c>
      <c r="P13" s="128">
        <v>0</v>
      </c>
      <c r="Q13" s="128">
        <v>0</v>
      </c>
      <c r="R13" s="128">
        <v>0</v>
      </c>
    </row>
    <row r="14" spans="1:18" x14ac:dyDescent="0.3">
      <c r="B14" s="127">
        <v>2013</v>
      </c>
      <c r="C14" s="128">
        <v>0.26600000000000001</v>
      </c>
      <c r="D14" s="128"/>
      <c r="E14" s="128"/>
      <c r="F14" s="128">
        <v>0.20200000000000001</v>
      </c>
      <c r="G14" s="128">
        <f>(1.671/1000)/'[1]Factores conversión'!$E$34</f>
        <v>0.23403361344537815</v>
      </c>
      <c r="H14" s="128">
        <f>(2.868/1000)/'[1]Factores conversión'!$E$7</f>
        <v>0.2859421734795613</v>
      </c>
      <c r="I14" s="128">
        <f>(2.544/1000)/'[1]Factores conversión'!$E$31</f>
        <v>0.30452660118865926</v>
      </c>
      <c r="J14" s="128">
        <f>(2.205/1000)/'[1]Factores conversión'!$E$30</f>
        <v>0.29313583555677858</v>
      </c>
      <c r="K14" s="128"/>
      <c r="L14" s="128">
        <f>2.579/'[1]Factores conversión'!$E$12</f>
        <v>0.35572413793103452</v>
      </c>
      <c r="M14" s="128">
        <v>0.23363981308814952</v>
      </c>
      <c r="N14" s="128">
        <v>0</v>
      </c>
      <c r="O14" s="128">
        <v>0</v>
      </c>
      <c r="P14" s="128">
        <v>0</v>
      </c>
      <c r="Q14" s="128">
        <v>0</v>
      </c>
      <c r="R14" s="128">
        <v>0</v>
      </c>
    </row>
    <row r="15" spans="1:18" x14ac:dyDescent="0.3">
      <c r="B15" s="127">
        <v>2014</v>
      </c>
      <c r="C15" s="128">
        <v>0.315</v>
      </c>
      <c r="D15" s="128"/>
      <c r="E15" s="128"/>
      <c r="F15" s="128">
        <v>0.20200000000000001</v>
      </c>
      <c r="G15" s="128">
        <f>(1.671/1000)/'[1]Factores conversión'!$E$34</f>
        <v>0.23403361344537815</v>
      </c>
      <c r="H15" s="128">
        <f>(2.868/1000)/'[1]Factores conversión'!$E$7</f>
        <v>0.2859421734795613</v>
      </c>
      <c r="I15" s="128">
        <f>(2.544/1000)/'[1]Factores conversión'!$E$31</f>
        <v>0.30452660118865926</v>
      </c>
      <c r="J15" s="128">
        <f>(2.205/1000)/'[1]Factores conversión'!$E$30</f>
        <v>0.29313583555677858</v>
      </c>
      <c r="K15" s="128"/>
      <c r="L15" s="128">
        <f>2.579/'[1]Factores conversión'!$E$12</f>
        <v>0.35572413793103452</v>
      </c>
      <c r="M15" s="128">
        <v>0.23363981308814952</v>
      </c>
      <c r="N15" s="128">
        <v>0</v>
      </c>
      <c r="O15" s="128">
        <v>0</v>
      </c>
      <c r="P15" s="128">
        <v>0</v>
      </c>
      <c r="Q15" s="128">
        <v>0</v>
      </c>
      <c r="R15" s="128">
        <v>0</v>
      </c>
    </row>
    <row r="16" spans="1:18" x14ac:dyDescent="0.3">
      <c r="B16" s="127">
        <v>2015</v>
      </c>
      <c r="C16" s="128">
        <v>0.39</v>
      </c>
      <c r="D16" s="128"/>
      <c r="E16" s="128"/>
      <c r="F16" s="128">
        <v>0.20200000000000001</v>
      </c>
      <c r="G16" s="128">
        <f>(1.671/1000)/'[1]Factores conversión'!$E$34</f>
        <v>0.23403361344537815</v>
      </c>
      <c r="H16" s="128">
        <f>(2.868/1000)/'[1]Factores conversión'!$E$7</f>
        <v>0.2859421734795613</v>
      </c>
      <c r="I16" s="128">
        <f>(2.544/1000)/'[1]Factores conversión'!$E$31</f>
        <v>0.30452660118865926</v>
      </c>
      <c r="J16" s="128">
        <f>(2.205/1000)/'[1]Factores conversión'!$E$30</f>
        <v>0.29313583555677858</v>
      </c>
      <c r="K16" s="128"/>
      <c r="L16" s="128">
        <f>2.579/'[1]Factores conversión'!$E$12</f>
        <v>0.35572413793103452</v>
      </c>
      <c r="M16" s="128">
        <v>0.23363981308814952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</row>
    <row r="17" spans="2:18" x14ac:dyDescent="0.3">
      <c r="B17" s="127">
        <v>2016</v>
      </c>
      <c r="C17" s="128">
        <v>0.36199999999999999</v>
      </c>
      <c r="D17" s="128"/>
      <c r="E17" s="128"/>
      <c r="F17" s="128">
        <v>0.20200000000000001</v>
      </c>
      <c r="G17" s="128">
        <f>(1.671/1000)/'[1]Factores conversión'!$E$34</f>
        <v>0.23403361344537815</v>
      </c>
      <c r="H17" s="128">
        <f>(2.868/1000)/'[1]Factores conversión'!$E$7</f>
        <v>0.2859421734795613</v>
      </c>
      <c r="I17" s="128">
        <f>(2.539/1000)/'[1]Factores conversión'!$E$31</f>
        <v>0.30392808192531673</v>
      </c>
      <c r="J17" s="128">
        <f>(2.196/1000)/'[1]Factores conversión'!$E$30</f>
        <v>0.29193936275858767</v>
      </c>
      <c r="K17" s="128"/>
      <c r="L17" s="128">
        <f>2.43/'[1]Factores conversión'!$E$12</f>
        <v>0.33517241379310347</v>
      </c>
      <c r="M17" s="128">
        <v>0.23363981308814952</v>
      </c>
      <c r="N17" s="128">
        <v>0</v>
      </c>
      <c r="O17" s="128">
        <v>0</v>
      </c>
      <c r="P17" s="128">
        <v>0</v>
      </c>
      <c r="Q17" s="128">
        <v>0</v>
      </c>
      <c r="R17" s="128">
        <v>0</v>
      </c>
    </row>
    <row r="18" spans="2:18" x14ac:dyDescent="0.3">
      <c r="B18" s="127">
        <v>2017</v>
      </c>
      <c r="C18" s="128">
        <v>0.41299999999999998</v>
      </c>
      <c r="D18" s="128"/>
      <c r="E18" s="128"/>
      <c r="F18" s="128">
        <v>0.20300000000000001</v>
      </c>
      <c r="G18" s="128">
        <f>(1.671/1000)/'[1]Factores conversión'!$E$34</f>
        <v>0.23403361344537815</v>
      </c>
      <c r="H18" s="128">
        <f>(2.868/1000)/'[1]Factores conversión'!$E$7</f>
        <v>0.2859421734795613</v>
      </c>
      <c r="I18" s="128">
        <f>(2.52/1000)/'[1]Factores conversión'!$E$31</f>
        <v>0.30165370872461528</v>
      </c>
      <c r="J18" s="128">
        <f>(2.18/1000)/'[1]Factores conversión'!$E$30</f>
        <v>0.28981230000624825</v>
      </c>
      <c r="K18" s="128"/>
      <c r="L18" s="128">
        <f>2.444/'[1]Factores conversión'!$E$12</f>
        <v>0.33710344827586208</v>
      </c>
      <c r="M18" s="128">
        <v>0.23363981308814952</v>
      </c>
      <c r="N18" s="128">
        <v>0</v>
      </c>
      <c r="O18" s="128">
        <v>0</v>
      </c>
      <c r="P18" s="128">
        <v>0</v>
      </c>
      <c r="Q18" s="128">
        <v>0</v>
      </c>
      <c r="R18" s="128">
        <v>0</v>
      </c>
    </row>
    <row r="19" spans="2:18" x14ac:dyDescent="0.3">
      <c r="B19" s="127">
        <v>2018</v>
      </c>
      <c r="C19" s="128">
        <v>0.40500000000000003</v>
      </c>
      <c r="D19" s="128"/>
      <c r="E19" s="128"/>
      <c r="F19" s="128">
        <v>0.20300000000000001</v>
      </c>
      <c r="G19" s="128">
        <f>(1.671/1000)/'[1]Factores conversión'!$E$34</f>
        <v>0.23403361344537815</v>
      </c>
      <c r="H19" s="128">
        <f>(2.868/1000)/'[1]Factores conversión'!$E$7</f>
        <v>0.2859421734795613</v>
      </c>
      <c r="I19" s="128">
        <f>(2.493/1000)/'[1]Factores conversión'!$E$31</f>
        <v>0.29842170470256585</v>
      </c>
      <c r="J19" s="128">
        <f>(2.157/1000)/'[1]Factores conversión'!$E$30</f>
        <v>0.2867546472997603</v>
      </c>
      <c r="K19" s="128"/>
      <c r="L19" s="128">
        <f>2.444/'[1]Factores conversión'!$E$12</f>
        <v>0.33710344827586208</v>
      </c>
      <c r="M19" s="128">
        <v>0.23363981308814952</v>
      </c>
      <c r="N19" s="128">
        <v>0</v>
      </c>
      <c r="O19" s="128">
        <v>0</v>
      </c>
      <c r="P19" s="128">
        <v>0</v>
      </c>
      <c r="Q19" s="128">
        <v>0</v>
      </c>
      <c r="R19" s="128">
        <v>0</v>
      </c>
    </row>
    <row r="20" spans="2:18" x14ac:dyDescent="0.3">
      <c r="B20" s="127">
        <v>2019</v>
      </c>
      <c r="C20" s="128">
        <v>0.24099999999999999</v>
      </c>
      <c r="D20" s="128"/>
      <c r="E20" s="128"/>
      <c r="F20" s="128">
        <v>0.20152783877772895</v>
      </c>
      <c r="G20" s="128">
        <f>(1.671/1000)/'[1]Factores conversión'!$E$34</f>
        <v>0.23403361344537815</v>
      </c>
      <c r="H20" s="128">
        <f>(2.868/1000)/'[1]Factores conversión'!$E$7</f>
        <v>0.2859421734795613</v>
      </c>
      <c r="I20" s="128">
        <v>0.2667597865921707</v>
      </c>
      <c r="J20" s="128">
        <v>0.24947980041615966</v>
      </c>
      <c r="K20" s="128"/>
      <c r="L20" s="128">
        <v>0.36359970912023265</v>
      </c>
      <c r="M20" s="128">
        <v>0.23363981308814952</v>
      </c>
      <c r="N20" s="128">
        <v>0</v>
      </c>
      <c r="O20" s="128">
        <v>0</v>
      </c>
      <c r="P20" s="128">
        <v>0</v>
      </c>
      <c r="Q20" s="128">
        <v>0</v>
      </c>
      <c r="R20" s="128">
        <v>0</v>
      </c>
    </row>
    <row r="21" spans="2:18" x14ac:dyDescent="0.3">
      <c r="B21" s="127">
        <v>2020</v>
      </c>
      <c r="C21" s="128">
        <v>0.25</v>
      </c>
      <c r="D21" s="128"/>
      <c r="E21" s="128"/>
      <c r="F21" s="128">
        <v>0.20152783877772895</v>
      </c>
      <c r="G21" s="128">
        <f>(1.671/1000)/'[1]Factores conversión'!$E$34</f>
        <v>0.23403361344537815</v>
      </c>
      <c r="H21" s="128">
        <f>(2.868/1000)/'[1]Factores conversión'!$E$7</f>
        <v>0.2859421734795613</v>
      </c>
      <c r="I21" s="128">
        <v>0.2667597865921707</v>
      </c>
      <c r="J21" s="128">
        <v>0.24947980041615966</v>
      </c>
      <c r="K21" s="128"/>
      <c r="L21" s="128">
        <v>0.36359970912023265</v>
      </c>
      <c r="M21" s="128">
        <v>0.23363981308814952</v>
      </c>
      <c r="N21" s="128">
        <v>0</v>
      </c>
      <c r="O21" s="128">
        <v>0</v>
      </c>
      <c r="P21" s="128">
        <v>0</v>
      </c>
      <c r="Q21" s="128">
        <v>0</v>
      </c>
      <c r="R21" s="128">
        <v>0</v>
      </c>
    </row>
    <row r="22" spans="2:18" x14ac:dyDescent="0.3">
      <c r="B22" s="127">
        <v>2021</v>
      </c>
      <c r="C22" s="222">
        <v>0.25900000000000001</v>
      </c>
      <c r="D22" s="222"/>
      <c r="E22" s="222"/>
      <c r="F22" s="222">
        <v>0.20152783877772895</v>
      </c>
      <c r="G22" s="222">
        <f>(1.671/1000)/'[1]Factores conversión'!$E$34</f>
        <v>0.23403361344537815</v>
      </c>
      <c r="H22" s="222">
        <f>(2.868/1000)/'[1]Factores conversión'!$E$7</f>
        <v>0.2859421734795613</v>
      </c>
      <c r="I22" s="222">
        <v>0.2667597865921707</v>
      </c>
      <c r="J22" s="222">
        <v>0.24947980041615966</v>
      </c>
      <c r="K22" s="222"/>
      <c r="L22" s="222">
        <v>0.36359970912023265</v>
      </c>
      <c r="M22" s="222">
        <v>0.23363981308814952</v>
      </c>
      <c r="N22" s="222">
        <v>0</v>
      </c>
      <c r="O22" s="222">
        <v>0</v>
      </c>
      <c r="P22" s="222">
        <v>0</v>
      </c>
      <c r="Q22" s="222">
        <v>0</v>
      </c>
      <c r="R22" s="222">
        <v>0</v>
      </c>
    </row>
    <row r="23" spans="2:18" x14ac:dyDescent="0.3">
      <c r="B23" s="127">
        <v>2022</v>
      </c>
      <c r="C23" s="223">
        <v>0.27300000000000002</v>
      </c>
      <c r="D23" s="223"/>
      <c r="E23" s="223"/>
      <c r="F23" s="223">
        <v>0.20200000000000001</v>
      </c>
      <c r="G23" s="223">
        <v>0.23100000000000001</v>
      </c>
      <c r="H23" s="223">
        <v>0.26700000000000002</v>
      </c>
      <c r="I23" s="223">
        <v>0.26700000000000002</v>
      </c>
      <c r="J23" s="223">
        <v>0.249</v>
      </c>
      <c r="K23" s="223"/>
      <c r="L23" s="223">
        <v>0.36399999999999999</v>
      </c>
      <c r="M23" s="223">
        <v>0.22700000000000001</v>
      </c>
      <c r="N23" s="222">
        <v>0</v>
      </c>
      <c r="O23" s="222">
        <v>0</v>
      </c>
      <c r="P23" s="222">
        <v>0</v>
      </c>
      <c r="Q23" s="222">
        <v>0</v>
      </c>
      <c r="R23" s="222">
        <v>0</v>
      </c>
    </row>
    <row r="24" spans="2:18" x14ac:dyDescent="0.3">
      <c r="B24" s="127">
        <v>2023</v>
      </c>
      <c r="C24" s="223">
        <v>0.26</v>
      </c>
      <c r="D24" s="223"/>
      <c r="E24" s="223"/>
      <c r="F24" s="223">
        <v>0.20200000000000001</v>
      </c>
      <c r="G24" s="223">
        <v>0.23100000000000001</v>
      </c>
      <c r="H24" s="223">
        <v>0.26700000000000002</v>
      </c>
      <c r="I24" s="223">
        <v>0.26700000000000002</v>
      </c>
      <c r="J24" s="223">
        <v>0.249</v>
      </c>
      <c r="K24" s="223"/>
      <c r="L24" s="223">
        <v>0.36399999999999999</v>
      </c>
      <c r="M24" s="223">
        <v>0.22700000000000001</v>
      </c>
      <c r="N24" s="222">
        <v>0</v>
      </c>
      <c r="O24" s="222">
        <v>0</v>
      </c>
      <c r="P24" s="222">
        <v>0</v>
      </c>
      <c r="Q24" s="222">
        <v>0</v>
      </c>
      <c r="R24" s="222">
        <v>0</v>
      </c>
    </row>
    <row r="25" spans="2:18" x14ac:dyDescent="0.3">
      <c r="C25" s="129" t="s">
        <v>175</v>
      </c>
    </row>
    <row r="26" spans="2:18" x14ac:dyDescent="0.3">
      <c r="C26" t="s">
        <v>176</v>
      </c>
    </row>
  </sheetData>
  <mergeCells count="4">
    <mergeCell ref="C9:D9"/>
    <mergeCell ref="E9:E10"/>
    <mergeCell ref="F9:M9"/>
    <mergeCell ref="N9:R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57"/>
  <sheetViews>
    <sheetView topLeftCell="A20" workbookViewId="0"/>
  </sheetViews>
  <sheetFormatPr baseColWidth="10" defaultColWidth="11.44140625" defaultRowHeight="14.4" x14ac:dyDescent="0.3"/>
  <cols>
    <col min="1" max="1" width="2.6640625" customWidth="1"/>
    <col min="2" max="2" width="20.6640625" style="159" customWidth="1"/>
    <col min="3" max="3" width="20.6640625" style="104" customWidth="1"/>
    <col min="4" max="4" width="20.6640625" style="139" customWidth="1"/>
    <col min="5" max="7" width="18.6640625" style="139" customWidth="1"/>
    <col min="8" max="8" width="20.6640625" style="24" customWidth="1"/>
    <col min="9" max="9" width="18.6640625" style="24" customWidth="1"/>
    <col min="10" max="10" width="18.6640625" customWidth="1"/>
  </cols>
  <sheetData>
    <row r="1" spans="2:9" x14ac:dyDescent="0.3">
      <c r="B1" s="138" t="s">
        <v>82</v>
      </c>
    </row>
    <row r="2" spans="2:9" x14ac:dyDescent="0.3">
      <c r="B2" s="138" t="s">
        <v>83</v>
      </c>
    </row>
    <row r="3" spans="2:9" x14ac:dyDescent="0.3">
      <c r="B3" s="138"/>
    </row>
    <row r="4" spans="2:9" x14ac:dyDescent="0.3">
      <c r="B4" s="140"/>
      <c r="C4" s="6" t="s">
        <v>84</v>
      </c>
      <c r="D4" s="141"/>
    </row>
    <row r="5" spans="2:9" x14ac:dyDescent="0.3">
      <c r="B5" s="10"/>
      <c r="C5" s="6" t="s">
        <v>30</v>
      </c>
    </row>
    <row r="6" spans="2:9" x14ac:dyDescent="0.3">
      <c r="B6" s="15"/>
      <c r="C6" s="6" t="s">
        <v>34</v>
      </c>
    </row>
    <row r="7" spans="2:9" x14ac:dyDescent="0.3">
      <c r="B7" s="17"/>
      <c r="C7" s="6" t="s">
        <v>38</v>
      </c>
    </row>
    <row r="9" spans="2:9" ht="15" thickBot="1" x14ac:dyDescent="0.35">
      <c r="B9" s="142" t="s">
        <v>85</v>
      </c>
    </row>
    <row r="10" spans="2:9" ht="60" customHeight="1" thickBot="1" x14ac:dyDescent="0.35">
      <c r="B10" s="143" t="s">
        <v>86</v>
      </c>
      <c r="C10" s="144" t="s">
        <v>87</v>
      </c>
      <c r="D10" s="144" t="s">
        <v>88</v>
      </c>
      <c r="E10" s="145" t="s">
        <v>89</v>
      </c>
      <c r="F10" s="145" t="s">
        <v>90</v>
      </c>
      <c r="G10" s="146" t="s">
        <v>91</v>
      </c>
      <c r="H10"/>
      <c r="I10"/>
    </row>
    <row r="11" spans="2:9" x14ac:dyDescent="0.3">
      <c r="B11" s="147"/>
      <c r="C11" s="148"/>
      <c r="D11" s="130"/>
      <c r="E11" s="131"/>
      <c r="F11" s="131"/>
      <c r="G11" s="149">
        <f>D11*E11*F11*52</f>
        <v>0</v>
      </c>
      <c r="H11"/>
      <c r="I11"/>
    </row>
    <row r="12" spans="2:9" x14ac:dyDescent="0.3">
      <c r="B12" s="150"/>
      <c r="C12" s="151"/>
      <c r="D12" s="132"/>
      <c r="E12" s="133"/>
      <c r="F12" s="133"/>
      <c r="G12" s="152">
        <f>D12*E12*F12*52</f>
        <v>0</v>
      </c>
      <c r="H12"/>
      <c r="I12"/>
    </row>
    <row r="13" spans="2:9" x14ac:dyDescent="0.3">
      <c r="B13" s="150"/>
      <c r="C13" s="151"/>
      <c r="D13" s="132"/>
      <c r="E13" s="133"/>
      <c r="F13" s="133"/>
      <c r="G13" s="152">
        <f>D13*E13*F13*52</f>
        <v>0</v>
      </c>
      <c r="H13"/>
      <c r="I13"/>
    </row>
    <row r="14" spans="2:9" ht="15" thickBot="1" x14ac:dyDescent="0.35">
      <c r="B14" s="150"/>
      <c r="C14" s="151"/>
      <c r="D14" s="132"/>
      <c r="E14" s="133"/>
      <c r="F14" s="133"/>
      <c r="G14" s="152">
        <f>D14*E14*F14*52</f>
        <v>0</v>
      </c>
      <c r="H14"/>
      <c r="I14"/>
    </row>
    <row r="15" spans="2:9" ht="30" customHeight="1" thickBot="1" x14ac:dyDescent="0.35">
      <c r="B15" s="233" t="s">
        <v>92</v>
      </c>
      <c r="C15" s="234"/>
      <c r="D15" s="234"/>
      <c r="E15" s="234"/>
      <c r="F15" s="235"/>
      <c r="G15" s="154">
        <f>SUM(G11:G14)</f>
        <v>0</v>
      </c>
      <c r="H15"/>
      <c r="I15"/>
    </row>
    <row r="16" spans="2:9" ht="60" customHeight="1" thickBot="1" x14ac:dyDescent="0.35">
      <c r="B16" s="143" t="s">
        <v>86</v>
      </c>
      <c r="C16" s="144" t="s">
        <v>87</v>
      </c>
      <c r="D16" s="144" t="s">
        <v>88</v>
      </c>
      <c r="E16" s="145" t="s">
        <v>89</v>
      </c>
      <c r="F16" s="145" t="s">
        <v>90</v>
      </c>
      <c r="G16" s="146" t="s">
        <v>93</v>
      </c>
      <c r="H16"/>
      <c r="I16"/>
    </row>
    <row r="17" spans="2:9" x14ac:dyDescent="0.3">
      <c r="B17" s="147"/>
      <c r="C17" s="148"/>
      <c r="D17" s="130"/>
      <c r="E17" s="131"/>
      <c r="F17" s="131"/>
      <c r="G17" s="149">
        <f>D17*E17*F17*52</f>
        <v>0</v>
      </c>
      <c r="H17"/>
      <c r="I17"/>
    </row>
    <row r="18" spans="2:9" x14ac:dyDescent="0.3">
      <c r="B18" s="150"/>
      <c r="C18" s="151"/>
      <c r="D18" s="132"/>
      <c r="E18" s="133"/>
      <c r="F18" s="133"/>
      <c r="G18" s="152">
        <f>D18*E18*F18*52</f>
        <v>0</v>
      </c>
      <c r="H18"/>
      <c r="I18"/>
    </row>
    <row r="19" spans="2:9" x14ac:dyDescent="0.3">
      <c r="B19" s="150"/>
      <c r="C19" s="151"/>
      <c r="D19" s="132"/>
      <c r="E19" s="133"/>
      <c r="F19" s="133"/>
      <c r="G19" s="152">
        <f>D19*E19*F19*52</f>
        <v>0</v>
      </c>
      <c r="H19"/>
      <c r="I19"/>
    </row>
    <row r="20" spans="2:9" ht="15" thickBot="1" x14ac:dyDescent="0.35">
      <c r="B20" s="150"/>
      <c r="C20" s="151"/>
      <c r="D20" s="132"/>
      <c r="E20" s="133"/>
      <c r="F20" s="133"/>
      <c r="G20" s="152">
        <f>D20*E20*F20*52</f>
        <v>0</v>
      </c>
      <c r="H20"/>
      <c r="I20"/>
    </row>
    <row r="21" spans="2:9" ht="30" customHeight="1" thickBot="1" x14ac:dyDescent="0.35">
      <c r="B21" s="233" t="s">
        <v>94</v>
      </c>
      <c r="C21" s="234"/>
      <c r="D21" s="234"/>
      <c r="E21" s="234"/>
      <c r="F21" s="235"/>
      <c r="G21" s="154">
        <f>SUM(G17:G20)</f>
        <v>0</v>
      </c>
      <c r="H21"/>
      <c r="I21"/>
    </row>
    <row r="22" spans="2:9" ht="60" customHeight="1" thickBot="1" x14ac:dyDescent="0.35">
      <c r="B22" s="143" t="s">
        <v>86</v>
      </c>
      <c r="C22" s="144" t="s">
        <v>87</v>
      </c>
      <c r="D22" s="144" t="s">
        <v>88</v>
      </c>
      <c r="E22" s="145" t="s">
        <v>89</v>
      </c>
      <c r="F22" s="145" t="s">
        <v>90</v>
      </c>
      <c r="G22" s="146" t="s">
        <v>95</v>
      </c>
      <c r="H22"/>
      <c r="I22"/>
    </row>
    <row r="23" spans="2:9" x14ac:dyDescent="0.3">
      <c r="B23" s="147"/>
      <c r="C23" s="148"/>
      <c r="D23" s="130"/>
      <c r="E23" s="131"/>
      <c r="F23" s="131"/>
      <c r="G23" s="149">
        <f>D23*E23*F23*52</f>
        <v>0</v>
      </c>
      <c r="H23"/>
      <c r="I23"/>
    </row>
    <row r="24" spans="2:9" x14ac:dyDescent="0.3">
      <c r="B24" s="150"/>
      <c r="C24" s="151"/>
      <c r="D24" s="132"/>
      <c r="E24" s="133"/>
      <c r="F24" s="133"/>
      <c r="G24" s="152">
        <f>D24*E24*F24*52</f>
        <v>0</v>
      </c>
      <c r="H24"/>
      <c r="I24"/>
    </row>
    <row r="25" spans="2:9" x14ac:dyDescent="0.3">
      <c r="B25" s="150"/>
      <c r="C25" s="151"/>
      <c r="D25" s="132"/>
      <c r="E25" s="133"/>
      <c r="F25" s="133"/>
      <c r="G25" s="152">
        <f>D25*E25*F25*52</f>
        <v>0</v>
      </c>
      <c r="H25"/>
      <c r="I25"/>
    </row>
    <row r="26" spans="2:9" ht="15" thickBot="1" x14ac:dyDescent="0.35">
      <c r="B26" s="150"/>
      <c r="C26" s="151"/>
      <c r="D26" s="132"/>
      <c r="E26" s="133"/>
      <c r="F26" s="133"/>
      <c r="G26" s="152">
        <f>D26*E26*F26*52</f>
        <v>0</v>
      </c>
      <c r="H26"/>
      <c r="I26"/>
    </row>
    <row r="27" spans="2:9" ht="30" customHeight="1" thickBot="1" x14ac:dyDescent="0.35">
      <c r="B27" s="233" t="s">
        <v>96</v>
      </c>
      <c r="C27" s="234"/>
      <c r="D27" s="234"/>
      <c r="E27" s="234"/>
      <c r="F27" s="235"/>
      <c r="G27" s="154">
        <f>SUM(G23:G26)</f>
        <v>0</v>
      </c>
      <c r="H27"/>
      <c r="I27"/>
    </row>
    <row r="28" spans="2:9" ht="60" customHeight="1" thickBot="1" x14ac:dyDescent="0.35">
      <c r="B28" s="143" t="s">
        <v>86</v>
      </c>
      <c r="C28" s="144" t="s">
        <v>87</v>
      </c>
      <c r="D28" s="144" t="s">
        <v>88</v>
      </c>
      <c r="E28" s="145" t="s">
        <v>89</v>
      </c>
      <c r="F28" s="145" t="s">
        <v>90</v>
      </c>
      <c r="G28" s="146" t="s">
        <v>97</v>
      </c>
      <c r="H28"/>
      <c r="I28"/>
    </row>
    <row r="29" spans="2:9" x14ac:dyDescent="0.3">
      <c r="B29" s="147"/>
      <c r="C29" s="148"/>
      <c r="D29" s="134"/>
      <c r="E29" s="135"/>
      <c r="F29" s="135"/>
      <c r="G29" s="149">
        <f>D29*E29*F29*52</f>
        <v>0</v>
      </c>
      <c r="H29"/>
      <c r="I29"/>
    </row>
    <row r="30" spans="2:9" x14ac:dyDescent="0.3">
      <c r="B30" s="150"/>
      <c r="C30" s="151"/>
      <c r="D30" s="136"/>
      <c r="E30" s="137"/>
      <c r="F30" s="137"/>
      <c r="G30" s="152">
        <f>D30*E30*F30*52</f>
        <v>0</v>
      </c>
      <c r="H30"/>
      <c r="I30"/>
    </row>
    <row r="31" spans="2:9" x14ac:dyDescent="0.3">
      <c r="B31" s="150"/>
      <c r="C31" s="151"/>
      <c r="D31" s="136"/>
      <c r="E31" s="137"/>
      <c r="F31" s="137"/>
      <c r="G31" s="152">
        <f>D31*E31*F31*52</f>
        <v>0</v>
      </c>
      <c r="H31"/>
      <c r="I31"/>
    </row>
    <row r="32" spans="2:9" ht="15" thickBot="1" x14ac:dyDescent="0.35">
      <c r="B32" s="150"/>
      <c r="C32" s="151"/>
      <c r="D32" s="136"/>
      <c r="E32" s="137"/>
      <c r="F32" s="137"/>
      <c r="G32" s="152">
        <f>D32*E32*F32*52</f>
        <v>0</v>
      </c>
      <c r="H32"/>
      <c r="I32"/>
    </row>
    <row r="33" spans="2:9" ht="30" customHeight="1" thickBot="1" x14ac:dyDescent="0.35">
      <c r="B33" s="233" t="s">
        <v>98</v>
      </c>
      <c r="C33" s="234"/>
      <c r="D33" s="234"/>
      <c r="E33" s="234"/>
      <c r="F33" s="235"/>
      <c r="G33" s="154">
        <f>SUM(G29:G32)</f>
        <v>0</v>
      </c>
      <c r="H33"/>
      <c r="I33"/>
    </row>
    <row r="34" spans="2:9" s="25" customFormat="1" x14ac:dyDescent="0.3">
      <c r="B34" s="155"/>
      <c r="C34" s="156"/>
      <c r="D34" s="156"/>
      <c r="E34" s="156"/>
      <c r="F34" s="156"/>
      <c r="G34" s="157"/>
      <c r="H34" s="157"/>
      <c r="I34"/>
    </row>
    <row r="35" spans="2:9" x14ac:dyDescent="0.3">
      <c r="B35" s="158"/>
      <c r="I35" s="159"/>
    </row>
    <row r="36" spans="2:9" ht="15" thickBot="1" x14ac:dyDescent="0.35">
      <c r="B36" s="142" t="s">
        <v>99</v>
      </c>
      <c r="I36" s="159"/>
    </row>
    <row r="37" spans="2:9" s="163" customFormat="1" ht="30" customHeight="1" x14ac:dyDescent="0.3">
      <c r="B37" s="160" t="s">
        <v>100</v>
      </c>
      <c r="C37" s="161" t="s">
        <v>101</v>
      </c>
      <c r="D37" s="161" t="s">
        <v>102</v>
      </c>
      <c r="E37" s="162" t="s">
        <v>103</v>
      </c>
      <c r="I37" s="159"/>
    </row>
    <row r="38" spans="2:9" ht="30" customHeight="1" thickBot="1" x14ac:dyDescent="0.35">
      <c r="B38" s="164">
        <f>0.00280834153780717*1.5</f>
        <v>4.2125123067107556E-3</v>
      </c>
      <c r="C38" s="165">
        <f>0.00241172968817264*1.5</f>
        <v>3.61759453225896E-3</v>
      </c>
      <c r="D38" s="166">
        <f>0.00184548064015216*1.5</f>
        <v>2.7682209602282399E-3</v>
      </c>
      <c r="E38" s="167">
        <f>0.00160476609732982*1.5</f>
        <v>2.4071491459947301E-3</v>
      </c>
      <c r="F38"/>
      <c r="G38"/>
      <c r="H38"/>
      <c r="I38" s="159"/>
    </row>
    <row r="39" spans="2:9" x14ac:dyDescent="0.3">
      <c r="B39" s="159" t="s">
        <v>104</v>
      </c>
      <c r="C39" s="168"/>
      <c r="D39"/>
      <c r="E39"/>
      <c r="F39"/>
      <c r="G39" s="159"/>
      <c r="H39" s="159"/>
      <c r="I39" s="159"/>
    </row>
    <row r="40" spans="2:9" x14ac:dyDescent="0.3">
      <c r="C40" s="168"/>
      <c r="D40"/>
      <c r="E40"/>
      <c r="F40"/>
      <c r="G40" s="159"/>
      <c r="H40" s="159"/>
      <c r="I40" s="159"/>
    </row>
    <row r="41" spans="2:9" ht="15" thickBot="1" x14ac:dyDescent="0.35">
      <c r="B41" s="142" t="s">
        <v>105</v>
      </c>
    </row>
    <row r="42" spans="2:9" ht="60" customHeight="1" thickBot="1" x14ac:dyDescent="0.35">
      <c r="B42" s="143" t="s">
        <v>86</v>
      </c>
      <c r="C42" s="144" t="s">
        <v>87</v>
      </c>
      <c r="D42" s="144" t="s">
        <v>88</v>
      </c>
      <c r="E42" s="145" t="s">
        <v>89</v>
      </c>
      <c r="F42" s="145" t="s">
        <v>90</v>
      </c>
      <c r="G42" s="146" t="s">
        <v>106</v>
      </c>
      <c r="H42"/>
      <c r="I42"/>
    </row>
    <row r="43" spans="2:9" x14ac:dyDescent="0.3">
      <c r="B43" s="147"/>
      <c r="C43" s="148"/>
      <c r="D43" s="130"/>
      <c r="E43" s="131"/>
      <c r="F43" s="131"/>
      <c r="G43" s="149">
        <f>D43*E43*F43*52</f>
        <v>0</v>
      </c>
      <c r="H43"/>
      <c r="I43"/>
    </row>
    <row r="44" spans="2:9" x14ac:dyDescent="0.3">
      <c r="B44" s="150"/>
      <c r="C44" s="151"/>
      <c r="D44" s="132"/>
      <c r="E44" s="133"/>
      <c r="F44" s="133"/>
      <c r="G44" s="152">
        <f>D44*E44*F44*52</f>
        <v>0</v>
      </c>
      <c r="H44"/>
      <c r="I44"/>
    </row>
    <row r="45" spans="2:9" x14ac:dyDescent="0.3">
      <c r="B45" s="150"/>
      <c r="C45" s="151"/>
      <c r="D45" s="132"/>
      <c r="E45" s="133"/>
      <c r="F45" s="133"/>
      <c r="G45" s="152">
        <f>D45*E45*F45*52</f>
        <v>0</v>
      </c>
      <c r="H45"/>
      <c r="I45"/>
    </row>
    <row r="46" spans="2:9" ht="15" thickBot="1" x14ac:dyDescent="0.35">
      <c r="B46" s="150"/>
      <c r="C46" s="151"/>
      <c r="D46" s="132"/>
      <c r="E46" s="133"/>
      <c r="F46" s="133"/>
      <c r="G46" s="152">
        <f>D46*E46*F46*52</f>
        <v>0</v>
      </c>
      <c r="H46"/>
      <c r="I46"/>
    </row>
    <row r="47" spans="2:9" ht="30" customHeight="1" thickBot="1" x14ac:dyDescent="0.35">
      <c r="B47" s="233" t="s">
        <v>107</v>
      </c>
      <c r="C47" s="234"/>
      <c r="D47" s="234"/>
      <c r="E47" s="234"/>
      <c r="F47" s="235"/>
      <c r="G47" s="154">
        <f>SUM(G43:G46)</f>
        <v>0</v>
      </c>
      <c r="H47"/>
      <c r="I47"/>
    </row>
    <row r="48" spans="2:9" ht="60" customHeight="1" thickBot="1" x14ac:dyDescent="0.35">
      <c r="B48" s="143" t="s">
        <v>86</v>
      </c>
      <c r="C48" s="144" t="s">
        <v>87</v>
      </c>
      <c r="D48" s="144" t="s">
        <v>88</v>
      </c>
      <c r="E48" s="145" t="s">
        <v>89</v>
      </c>
      <c r="F48" s="145" t="s">
        <v>90</v>
      </c>
      <c r="G48" s="146" t="s">
        <v>108</v>
      </c>
      <c r="H48"/>
      <c r="I48"/>
    </row>
    <row r="49" spans="2:9" x14ac:dyDescent="0.3">
      <c r="B49" s="147"/>
      <c r="C49" s="148"/>
      <c r="D49" s="130"/>
      <c r="E49" s="131"/>
      <c r="F49" s="131"/>
      <c r="G49" s="149">
        <f>D49*E49*F49*52</f>
        <v>0</v>
      </c>
      <c r="H49"/>
      <c r="I49"/>
    </row>
    <row r="50" spans="2:9" x14ac:dyDescent="0.3">
      <c r="B50" s="150"/>
      <c r="C50" s="151"/>
      <c r="D50" s="132"/>
      <c r="E50" s="133"/>
      <c r="F50" s="133"/>
      <c r="G50" s="152">
        <f>D50*E50*F50*52</f>
        <v>0</v>
      </c>
      <c r="H50"/>
      <c r="I50"/>
    </row>
    <row r="51" spans="2:9" x14ac:dyDescent="0.3">
      <c r="B51" s="150"/>
      <c r="C51" s="151"/>
      <c r="D51" s="132"/>
      <c r="E51" s="133"/>
      <c r="F51" s="133"/>
      <c r="G51" s="152">
        <f>D51*E51*F51*52</f>
        <v>0</v>
      </c>
      <c r="H51"/>
      <c r="I51"/>
    </row>
    <row r="52" spans="2:9" ht="15" thickBot="1" x14ac:dyDescent="0.35">
      <c r="B52" s="150"/>
      <c r="C52" s="151"/>
      <c r="D52" s="132"/>
      <c r="E52" s="133"/>
      <c r="F52" s="133"/>
      <c r="G52" s="152">
        <f>D52*E52*F52*52</f>
        <v>0</v>
      </c>
      <c r="H52"/>
      <c r="I52"/>
    </row>
    <row r="53" spans="2:9" ht="30" customHeight="1" thickBot="1" x14ac:dyDescent="0.35">
      <c r="B53" s="233" t="s">
        <v>109</v>
      </c>
      <c r="C53" s="234"/>
      <c r="D53" s="234"/>
      <c r="E53" s="234"/>
      <c r="F53" s="235"/>
      <c r="G53" s="154">
        <f>SUM(G49:G52)</f>
        <v>0</v>
      </c>
      <c r="H53"/>
      <c r="I53"/>
    </row>
    <row r="54" spans="2:9" ht="60" customHeight="1" thickBot="1" x14ac:dyDescent="0.35">
      <c r="B54" s="143" t="s">
        <v>86</v>
      </c>
      <c r="C54" s="144" t="s">
        <v>87</v>
      </c>
      <c r="D54" s="144" t="s">
        <v>88</v>
      </c>
      <c r="E54" s="145" t="s">
        <v>89</v>
      </c>
      <c r="F54" s="145" t="s">
        <v>90</v>
      </c>
      <c r="G54" s="146" t="s">
        <v>110</v>
      </c>
      <c r="H54"/>
      <c r="I54"/>
    </row>
    <row r="55" spans="2:9" x14ac:dyDescent="0.3">
      <c r="B55" s="147"/>
      <c r="C55" s="148"/>
      <c r="D55" s="130"/>
      <c r="E55" s="131"/>
      <c r="F55" s="131"/>
      <c r="G55" s="149">
        <f>D55*E55*F55*52</f>
        <v>0</v>
      </c>
      <c r="H55"/>
      <c r="I55"/>
    </row>
    <row r="56" spans="2:9" x14ac:dyDescent="0.3">
      <c r="B56" s="150"/>
      <c r="C56" s="151"/>
      <c r="D56" s="132"/>
      <c r="E56" s="133"/>
      <c r="F56" s="133"/>
      <c r="G56" s="152">
        <f>D56*E56*F56*52</f>
        <v>0</v>
      </c>
      <c r="H56"/>
      <c r="I56"/>
    </row>
    <row r="57" spans="2:9" x14ac:dyDescent="0.3">
      <c r="B57" s="150"/>
      <c r="C57" s="151"/>
      <c r="D57" s="132"/>
      <c r="E57" s="133"/>
      <c r="F57" s="133"/>
      <c r="G57" s="152">
        <f>D57*E57*F57*52</f>
        <v>0</v>
      </c>
      <c r="H57"/>
      <c r="I57"/>
    </row>
    <row r="58" spans="2:9" ht="15" thickBot="1" x14ac:dyDescent="0.35">
      <c r="B58" s="150"/>
      <c r="C58" s="151"/>
      <c r="D58" s="132"/>
      <c r="E58" s="133"/>
      <c r="F58" s="133"/>
      <c r="G58" s="152">
        <f>D58*E58*F58*52</f>
        <v>0</v>
      </c>
      <c r="H58"/>
      <c r="I58"/>
    </row>
    <row r="59" spans="2:9" ht="30" customHeight="1" thickBot="1" x14ac:dyDescent="0.35">
      <c r="B59" s="233" t="s">
        <v>96</v>
      </c>
      <c r="C59" s="234"/>
      <c r="D59" s="234"/>
      <c r="E59" s="234"/>
      <c r="F59" s="235"/>
      <c r="G59" s="154">
        <f>SUM(G55:G58)</f>
        <v>0</v>
      </c>
      <c r="H59"/>
      <c r="I59"/>
    </row>
    <row r="60" spans="2:9" ht="60" customHeight="1" thickBot="1" x14ac:dyDescent="0.35">
      <c r="B60" s="143" t="s">
        <v>86</v>
      </c>
      <c r="C60" s="144" t="s">
        <v>87</v>
      </c>
      <c r="D60" s="144" t="s">
        <v>88</v>
      </c>
      <c r="E60" s="145" t="s">
        <v>89</v>
      </c>
      <c r="F60" s="145" t="s">
        <v>90</v>
      </c>
      <c r="G60" s="146" t="s">
        <v>111</v>
      </c>
      <c r="H60"/>
      <c r="I60"/>
    </row>
    <row r="61" spans="2:9" x14ac:dyDescent="0.3">
      <c r="B61" s="147"/>
      <c r="C61" s="148"/>
      <c r="D61" s="130"/>
      <c r="E61" s="131"/>
      <c r="F61" s="131"/>
      <c r="G61" s="149">
        <f>D61*E61*F61*52</f>
        <v>0</v>
      </c>
      <c r="H61"/>
      <c r="I61"/>
    </row>
    <row r="62" spans="2:9" x14ac:dyDescent="0.3">
      <c r="B62" s="150"/>
      <c r="C62" s="151"/>
      <c r="D62" s="132"/>
      <c r="E62" s="133"/>
      <c r="F62" s="133"/>
      <c r="G62" s="152">
        <f>D62*E62*F62*52</f>
        <v>0</v>
      </c>
      <c r="H62"/>
      <c r="I62"/>
    </row>
    <row r="63" spans="2:9" x14ac:dyDescent="0.3">
      <c r="B63" s="150"/>
      <c r="C63" s="151"/>
      <c r="D63" s="132"/>
      <c r="E63" s="133"/>
      <c r="F63" s="133"/>
      <c r="G63" s="152">
        <f>D63*E63*F63*52</f>
        <v>0</v>
      </c>
      <c r="H63"/>
      <c r="I63"/>
    </row>
    <row r="64" spans="2:9" ht="15" thickBot="1" x14ac:dyDescent="0.35">
      <c r="B64" s="150"/>
      <c r="C64" s="151"/>
      <c r="D64" s="132"/>
      <c r="E64" s="133"/>
      <c r="F64" s="133"/>
      <c r="G64" s="152">
        <f>D64*E64*F64*52</f>
        <v>0</v>
      </c>
      <c r="H64"/>
      <c r="I64"/>
    </row>
    <row r="65" spans="2:9" ht="30" customHeight="1" thickBot="1" x14ac:dyDescent="0.35">
      <c r="B65" s="233" t="s">
        <v>98</v>
      </c>
      <c r="C65" s="234"/>
      <c r="D65" s="234"/>
      <c r="E65" s="234"/>
      <c r="F65" s="235"/>
      <c r="G65" s="154">
        <f>SUM(G61:G64)</f>
        <v>0</v>
      </c>
      <c r="H65"/>
      <c r="I65"/>
    </row>
    <row r="66" spans="2:9" s="25" customFormat="1" ht="30" customHeight="1" x14ac:dyDescent="0.3">
      <c r="B66" s="169"/>
      <c r="C66" s="169"/>
      <c r="D66" s="169"/>
      <c r="E66" s="169"/>
      <c r="F66" s="169"/>
      <c r="G66" s="26"/>
    </row>
    <row r="67" spans="2:9" ht="15" thickBot="1" x14ac:dyDescent="0.35">
      <c r="B67" s="142" t="s">
        <v>112</v>
      </c>
      <c r="I67" s="159"/>
    </row>
    <row r="68" spans="2:9" s="163" customFormat="1" ht="30" customHeight="1" x14ac:dyDescent="0.3">
      <c r="B68" s="160" t="s">
        <v>100</v>
      </c>
      <c r="C68" s="161" t="s">
        <v>101</v>
      </c>
      <c r="D68" s="161" t="s">
        <v>102</v>
      </c>
      <c r="E68" s="162" t="s">
        <v>103</v>
      </c>
      <c r="I68" s="159"/>
    </row>
    <row r="69" spans="2:9" ht="30" customHeight="1" thickBot="1" x14ac:dyDescent="0.35">
      <c r="B69" s="164">
        <f>0.00280834153780717</f>
        <v>2.8083415378071701E-3</v>
      </c>
      <c r="C69" s="165">
        <f>0.00241172968817264</f>
        <v>2.41172968817264E-3</v>
      </c>
      <c r="D69" s="166">
        <f>0.00184548064015216</f>
        <v>1.8454806401521601E-3</v>
      </c>
      <c r="E69" s="167">
        <f>0.00160476609732982</f>
        <v>1.6047660973298201E-3</v>
      </c>
      <c r="F69"/>
      <c r="G69"/>
      <c r="H69"/>
      <c r="I69" s="159"/>
    </row>
    <row r="70" spans="2:9" x14ac:dyDescent="0.3">
      <c r="B70" s="159" t="s">
        <v>104</v>
      </c>
      <c r="C70" s="168"/>
      <c r="D70"/>
      <c r="E70"/>
      <c r="F70"/>
      <c r="G70" s="159"/>
      <c r="H70" s="159"/>
      <c r="I70" s="159"/>
    </row>
    <row r="71" spans="2:9" x14ac:dyDescent="0.3">
      <c r="C71" s="168"/>
      <c r="D71"/>
      <c r="E71"/>
      <c r="F71"/>
      <c r="G71" s="159"/>
      <c r="H71" s="159"/>
      <c r="I71" s="159"/>
    </row>
    <row r="72" spans="2:9" s="27" customFormat="1" x14ac:dyDescent="0.3">
      <c r="B72" s="142" t="s">
        <v>113</v>
      </c>
      <c r="C72" s="170"/>
      <c r="D72" s="171"/>
      <c r="E72" s="171"/>
      <c r="F72" s="171"/>
      <c r="G72" s="171"/>
      <c r="H72" s="172"/>
      <c r="I72" s="159"/>
    </row>
    <row r="73" spans="2:9" x14ac:dyDescent="0.3">
      <c r="B73" s="158"/>
      <c r="I73" s="159"/>
    </row>
    <row r="74" spans="2:9" ht="15" thickBot="1" x14ac:dyDescent="0.35">
      <c r="B74" s="142" t="s">
        <v>114</v>
      </c>
      <c r="I74" s="159"/>
    </row>
    <row r="75" spans="2:9" ht="43.8" thickBot="1" x14ac:dyDescent="0.35">
      <c r="B75" s="143" t="s">
        <v>115</v>
      </c>
      <c r="C75" s="144" t="s">
        <v>88</v>
      </c>
      <c r="D75" s="145" t="s">
        <v>116</v>
      </c>
      <c r="E75" s="145" t="s">
        <v>117</v>
      </c>
      <c r="F75" s="145" t="s">
        <v>118</v>
      </c>
      <c r="G75" s="159"/>
      <c r="H75"/>
      <c r="I75"/>
    </row>
    <row r="76" spans="2:9" ht="45" customHeight="1" x14ac:dyDescent="0.3">
      <c r="B76" s="173" t="s">
        <v>119</v>
      </c>
      <c r="C76" s="174"/>
      <c r="D76" s="175">
        <v>60</v>
      </c>
      <c r="E76" s="176">
        <v>1.2016666666666666E-3</v>
      </c>
      <c r="F76" s="177">
        <f t="shared" ref="F76:F89" si="0">E76*D76*C76*365</f>
        <v>0</v>
      </c>
      <c r="G76"/>
      <c r="H76"/>
      <c r="I76"/>
    </row>
    <row r="77" spans="2:9" ht="45" customHeight="1" x14ac:dyDescent="0.3">
      <c r="B77" s="178" t="s">
        <v>120</v>
      </c>
      <c r="C77" s="179"/>
      <c r="D77" s="180">
        <v>34</v>
      </c>
      <c r="E77" s="107">
        <v>6.2688235294117642E-3</v>
      </c>
      <c r="F77" s="181">
        <f t="shared" si="0"/>
        <v>0</v>
      </c>
      <c r="G77"/>
      <c r="H77"/>
      <c r="I77"/>
    </row>
    <row r="78" spans="2:9" ht="45" customHeight="1" x14ac:dyDescent="0.3">
      <c r="B78" s="178" t="s">
        <v>121</v>
      </c>
      <c r="C78" s="179"/>
      <c r="D78" s="180">
        <v>14</v>
      </c>
      <c r="E78" s="107">
        <v>7.1099999999999991E-3</v>
      </c>
      <c r="F78" s="181">
        <f t="shared" si="0"/>
        <v>0</v>
      </c>
      <c r="G78" s="24"/>
      <c r="H78"/>
      <c r="I78"/>
    </row>
    <row r="79" spans="2:9" ht="45" customHeight="1" x14ac:dyDescent="0.3">
      <c r="B79" s="178" t="s">
        <v>122</v>
      </c>
      <c r="C79" s="179"/>
      <c r="D79" s="180">
        <v>34</v>
      </c>
      <c r="E79" s="107">
        <v>2.5234999999999997E-3</v>
      </c>
      <c r="F79" s="181">
        <f t="shared" si="0"/>
        <v>0</v>
      </c>
      <c r="G79" s="24"/>
      <c r="H79"/>
      <c r="I79"/>
    </row>
    <row r="80" spans="2:9" ht="45" customHeight="1" x14ac:dyDescent="0.3">
      <c r="B80" s="178" t="s">
        <v>123</v>
      </c>
      <c r="C80" s="179"/>
      <c r="D80" s="180">
        <v>14</v>
      </c>
      <c r="E80" s="107">
        <v>7.9971428571428572E-3</v>
      </c>
      <c r="F80" s="181">
        <f t="shared" si="0"/>
        <v>0</v>
      </c>
      <c r="G80" s="24"/>
      <c r="H80"/>
      <c r="I80"/>
    </row>
    <row r="81" spans="2:9" ht="45" customHeight="1" x14ac:dyDescent="0.3">
      <c r="B81" s="178" t="s">
        <v>124</v>
      </c>
      <c r="C81" s="179"/>
      <c r="D81" s="180">
        <v>4</v>
      </c>
      <c r="E81" s="107">
        <v>9.11E-3</v>
      </c>
      <c r="F81" s="181">
        <f t="shared" si="0"/>
        <v>0</v>
      </c>
      <c r="G81"/>
      <c r="H81"/>
      <c r="I81"/>
    </row>
    <row r="82" spans="2:9" ht="45" customHeight="1" x14ac:dyDescent="0.3">
      <c r="B82" s="178" t="s">
        <v>125</v>
      </c>
      <c r="C82" s="179"/>
      <c r="D82" s="180">
        <v>14</v>
      </c>
      <c r="E82" s="107">
        <v>7.2100000000000003E-3</v>
      </c>
      <c r="F82" s="181">
        <f t="shared" si="0"/>
        <v>0</v>
      </c>
      <c r="G82" s="24"/>
      <c r="H82"/>
      <c r="I82"/>
    </row>
    <row r="83" spans="2:9" ht="45" customHeight="1" x14ac:dyDescent="0.3">
      <c r="B83" s="178" t="s">
        <v>126</v>
      </c>
      <c r="C83" s="179"/>
      <c r="D83" s="180">
        <v>20</v>
      </c>
      <c r="E83" s="107">
        <v>7.6310000000000006E-3</v>
      </c>
      <c r="F83" s="181">
        <f t="shared" si="0"/>
        <v>0</v>
      </c>
      <c r="G83" s="24"/>
      <c r="H83"/>
      <c r="I83"/>
    </row>
    <row r="84" spans="2:9" ht="45" customHeight="1" x14ac:dyDescent="0.3">
      <c r="B84" s="178" t="s">
        <v>127</v>
      </c>
      <c r="C84" s="179"/>
      <c r="D84" s="180">
        <v>28</v>
      </c>
      <c r="E84" s="107">
        <v>7.2100000000000003E-3</v>
      </c>
      <c r="F84" s="181">
        <f t="shared" si="0"/>
        <v>0</v>
      </c>
      <c r="G84" s="24"/>
      <c r="H84"/>
      <c r="I84"/>
    </row>
    <row r="85" spans="2:9" ht="45" customHeight="1" x14ac:dyDescent="0.3">
      <c r="B85" s="178" t="s">
        <v>128</v>
      </c>
      <c r="C85" s="179"/>
      <c r="D85" s="180">
        <v>4</v>
      </c>
      <c r="E85" s="107">
        <v>7.2100000000000003E-3</v>
      </c>
      <c r="F85" s="181">
        <f t="shared" si="0"/>
        <v>0</v>
      </c>
      <c r="G85" s="24"/>
      <c r="H85"/>
      <c r="I85"/>
    </row>
    <row r="86" spans="2:9" ht="45" customHeight="1" x14ac:dyDescent="0.3">
      <c r="B86" s="178" t="s">
        <v>129</v>
      </c>
      <c r="C86" s="179"/>
      <c r="D86" s="180">
        <v>16</v>
      </c>
      <c r="E86" s="107">
        <v>7.685E-3</v>
      </c>
      <c r="F86" s="181">
        <f t="shared" si="0"/>
        <v>0</v>
      </c>
      <c r="G86" s="24"/>
      <c r="H86"/>
      <c r="I86"/>
    </row>
    <row r="87" spans="2:9" ht="45" customHeight="1" x14ac:dyDescent="0.3">
      <c r="B87" s="178" t="s">
        <v>130</v>
      </c>
      <c r="C87" s="179"/>
      <c r="D87" s="180">
        <v>16</v>
      </c>
      <c r="E87" s="107">
        <v>7.2100000000000003E-3</v>
      </c>
      <c r="F87" s="181">
        <f t="shared" si="0"/>
        <v>0</v>
      </c>
      <c r="G87" s="24"/>
      <c r="H87"/>
      <c r="I87"/>
    </row>
    <row r="88" spans="2:9" ht="45" customHeight="1" x14ac:dyDescent="0.3">
      <c r="B88" s="178" t="s">
        <v>131</v>
      </c>
      <c r="C88" s="179"/>
      <c r="D88" s="180">
        <v>4</v>
      </c>
      <c r="E88" s="107">
        <v>7.2100000000000003E-3</v>
      </c>
      <c r="F88" s="181">
        <f t="shared" si="0"/>
        <v>0</v>
      </c>
      <c r="G88" s="24"/>
      <c r="H88"/>
      <c r="I88"/>
    </row>
    <row r="89" spans="2:9" ht="45" customHeight="1" thickBot="1" x14ac:dyDescent="0.35">
      <c r="B89" s="182" t="s">
        <v>132</v>
      </c>
      <c r="C89" s="183"/>
      <c r="D89" s="184">
        <v>4</v>
      </c>
      <c r="E89" s="185">
        <v>7.2100000000000003E-3</v>
      </c>
      <c r="F89" s="186">
        <f t="shared" si="0"/>
        <v>0</v>
      </c>
      <c r="G89" s="24"/>
      <c r="H89"/>
      <c r="I89"/>
    </row>
    <row r="90" spans="2:9" ht="45" customHeight="1" thickBot="1" x14ac:dyDescent="0.35">
      <c r="B90" s="153" t="s">
        <v>133</v>
      </c>
      <c r="C90" s="187"/>
      <c r="D90" s="187"/>
      <c r="E90" s="187"/>
      <c r="F90" s="188">
        <f>SUM(F76:F89)</f>
        <v>0</v>
      </c>
      <c r="G90" s="24"/>
      <c r="H90"/>
      <c r="I90"/>
    </row>
    <row r="91" spans="2:9" ht="15" customHeight="1" x14ac:dyDescent="0.3">
      <c r="B91" s="236" t="s">
        <v>134</v>
      </c>
      <c r="C91" s="237"/>
      <c r="D91" s="237"/>
      <c r="E91" s="237"/>
      <c r="F91" s="237"/>
      <c r="G91" s="237"/>
      <c r="H91" s="237"/>
    </row>
    <row r="92" spans="2:9" x14ac:dyDescent="0.3">
      <c r="B92" s="158" t="s">
        <v>135</v>
      </c>
    </row>
    <row r="93" spans="2:9" x14ac:dyDescent="0.3">
      <c r="B93" s="142"/>
    </row>
    <row r="94" spans="2:9" x14ac:dyDescent="0.3">
      <c r="B94" s="142" t="s">
        <v>136</v>
      </c>
    </row>
    <row r="95" spans="2:9" x14ac:dyDescent="0.3">
      <c r="B95" s="142"/>
    </row>
    <row r="96" spans="2:9" ht="15" thickBot="1" x14ac:dyDescent="0.35">
      <c r="B96" s="142" t="s">
        <v>137</v>
      </c>
    </row>
    <row r="97" spans="2:8" ht="30" customHeight="1" x14ac:dyDescent="0.3">
      <c r="B97" s="189"/>
      <c r="C97" s="190" t="s">
        <v>138</v>
      </c>
      <c r="D97" s="191" t="s">
        <v>139</v>
      </c>
      <c r="E97" s="191" t="s">
        <v>140</v>
      </c>
      <c r="F97" s="192" t="s">
        <v>141</v>
      </c>
      <c r="G97" s="193"/>
    </row>
    <row r="98" spans="2:8" ht="30" customHeight="1" thickBot="1" x14ac:dyDescent="0.35">
      <c r="B98" s="194" t="s">
        <v>142</v>
      </c>
      <c r="C98" s="195">
        <f>F90+G47+G15</f>
        <v>0</v>
      </c>
      <c r="D98" s="196">
        <f>G53+G21</f>
        <v>0</v>
      </c>
      <c r="E98" s="196">
        <f>G59+G27</f>
        <v>0</v>
      </c>
      <c r="F98" s="197">
        <f>G65+G33</f>
        <v>0</v>
      </c>
      <c r="G98" s="159"/>
      <c r="H98" s="159"/>
    </row>
    <row r="101" spans="2:8" x14ac:dyDescent="0.3">
      <c r="B101"/>
    </row>
    <row r="157" spans="2:2" x14ac:dyDescent="0.3">
      <c r="B157"/>
    </row>
  </sheetData>
  <sheetProtection algorithmName="SHA-512" hashValue="W4oJzIMV2qARbK4wolgcgcROxTTTccD1UdUk4OiRo272c+Dqwdxpv7DY/mF8vMEgwiVpMZBQ5XE6cgJzgvHp6A==" saltValue="iZZNb7xvYIpfzAI+VljW8g==" spinCount="100000" sheet="1" objects="1" scenarios="1"/>
  <mergeCells count="9">
    <mergeCell ref="B59:F59"/>
    <mergeCell ref="B65:F65"/>
    <mergeCell ref="B91:H91"/>
    <mergeCell ref="B15:F15"/>
    <mergeCell ref="B21:F21"/>
    <mergeCell ref="B27:F27"/>
    <mergeCell ref="B33:F33"/>
    <mergeCell ref="B47:F47"/>
    <mergeCell ref="B53:F5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"/>
  <sheetViews>
    <sheetView workbookViewId="0">
      <selection activeCell="O23" sqref="O23"/>
    </sheetView>
  </sheetViews>
  <sheetFormatPr baseColWidth="10" defaultColWidth="11.5546875" defaultRowHeight="14.4" x14ac:dyDescent="0.3"/>
  <cols>
    <col min="1" max="2" width="3.6640625" customWidth="1"/>
    <col min="3" max="3" width="31.109375" customWidth="1"/>
    <col min="4" max="12" width="12.6640625" customWidth="1"/>
    <col min="13" max="13" width="13" style="28" bestFit="1" customWidth="1"/>
    <col min="14" max="17" width="13" style="198" customWidth="1"/>
    <col min="18" max="18" width="20.6640625" customWidth="1"/>
  </cols>
  <sheetData>
    <row r="1" spans="1:18" x14ac:dyDescent="0.3">
      <c r="A1" s="27" t="s">
        <v>143</v>
      </c>
    </row>
    <row r="2" spans="1:18" x14ac:dyDescent="0.3">
      <c r="N2" s="199"/>
      <c r="O2" s="199"/>
      <c r="P2" s="199"/>
      <c r="Q2" s="10"/>
      <c r="R2" s="6" t="s">
        <v>30</v>
      </c>
    </row>
    <row r="3" spans="1:18" x14ac:dyDescent="0.3">
      <c r="N3" s="199"/>
      <c r="O3" s="199"/>
      <c r="P3" s="199"/>
      <c r="Q3" s="15"/>
      <c r="R3" s="6" t="s">
        <v>34</v>
      </c>
    </row>
    <row r="4" spans="1:18" x14ac:dyDescent="0.3">
      <c r="N4" s="199"/>
      <c r="O4" s="199"/>
      <c r="P4" s="199"/>
      <c r="Q4" s="17"/>
      <c r="R4" s="6" t="s">
        <v>38</v>
      </c>
    </row>
    <row r="5" spans="1:18" ht="15" thickBot="1" x14ac:dyDescent="0.35">
      <c r="M5" s="5"/>
      <c r="N5" s="199"/>
      <c r="O5" s="199"/>
      <c r="P5" s="199"/>
      <c r="Q5" s="199"/>
      <c r="R5" s="6"/>
    </row>
    <row r="6" spans="1:18" ht="15" thickBot="1" x14ac:dyDescent="0.35">
      <c r="B6" s="238" t="s">
        <v>181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40"/>
      <c r="Q6" s="31">
        <f>Q10*Q17</f>
        <v>0</v>
      </c>
      <c r="R6" s="25" t="s">
        <v>144</v>
      </c>
    </row>
    <row r="7" spans="1:18" x14ac:dyDescent="0.3">
      <c r="A7" s="27"/>
      <c r="M7" s="32"/>
      <c r="N7" s="105"/>
      <c r="O7" s="105"/>
      <c r="P7" s="105"/>
      <c r="Q7" s="105"/>
    </row>
    <row r="8" spans="1:18" s="27" customFormat="1" ht="15" thickBot="1" x14ac:dyDescent="0.35">
      <c r="B8"/>
      <c r="D8" s="24"/>
      <c r="E8" s="24"/>
      <c r="F8" s="24"/>
      <c r="G8" s="24"/>
      <c r="H8" s="24"/>
      <c r="I8" s="24"/>
      <c r="J8" s="24"/>
      <c r="K8" s="24"/>
      <c r="L8" s="24"/>
      <c r="M8" s="28"/>
      <c r="N8" s="198"/>
      <c r="O8" s="198"/>
      <c r="P8" s="198"/>
      <c r="Q8" s="198"/>
      <c r="R8"/>
    </row>
    <row r="9" spans="1:18" s="27" customFormat="1" ht="15" thickBot="1" x14ac:dyDescent="0.35">
      <c r="A9" s="33"/>
      <c r="B9" s="34" t="s">
        <v>145</v>
      </c>
      <c r="C9" s="35"/>
      <c r="D9" s="36"/>
      <c r="E9" s="36"/>
      <c r="F9" s="36"/>
      <c r="G9" s="36"/>
      <c r="H9" s="36"/>
      <c r="I9" s="36"/>
      <c r="J9" s="36"/>
      <c r="K9" s="36"/>
      <c r="L9" s="36"/>
      <c r="M9" s="37"/>
      <c r="N9" s="200"/>
      <c r="O9" s="200"/>
      <c r="P9" s="200"/>
      <c r="Q9" s="200"/>
      <c r="R9" s="38"/>
    </row>
    <row r="10" spans="1:18" ht="15" thickBot="1" x14ac:dyDescent="0.35">
      <c r="A10" s="39"/>
      <c r="C10" s="212" t="s">
        <v>180</v>
      </c>
      <c r="F10" s="26"/>
      <c r="K10" s="40"/>
      <c r="L10" s="40"/>
      <c r="M10" s="218"/>
      <c r="N10" s="218"/>
      <c r="O10" s="218"/>
      <c r="P10" s="201"/>
      <c r="Q10" s="41">
        <v>0</v>
      </c>
      <c r="R10" s="42" t="s">
        <v>146</v>
      </c>
    </row>
    <row r="11" spans="1:18" s="25" customFormat="1" x14ac:dyDescent="0.3">
      <c r="A11" s="43"/>
      <c r="K11" s="26"/>
      <c r="L11" s="26"/>
      <c r="M11" s="44"/>
      <c r="N11" s="44"/>
      <c r="O11" s="44"/>
      <c r="P11" s="44"/>
      <c r="Q11" s="44"/>
      <c r="R11" s="45"/>
    </row>
    <row r="12" spans="1:18" ht="15" thickBot="1" x14ac:dyDescent="0.35">
      <c r="A12" s="39"/>
      <c r="C12" t="s">
        <v>147</v>
      </c>
      <c r="D12" s="40"/>
      <c r="E12" s="40"/>
      <c r="F12" s="40"/>
      <c r="G12" s="40"/>
      <c r="H12" s="40"/>
      <c r="I12" s="40"/>
      <c r="J12" s="40"/>
      <c r="K12" s="40"/>
      <c r="L12" s="40"/>
      <c r="M12" s="46"/>
      <c r="N12" s="202"/>
      <c r="O12" s="202"/>
      <c r="P12" s="202"/>
      <c r="Q12" s="202"/>
      <c r="R12" s="47"/>
    </row>
    <row r="13" spans="1:18" ht="15" thickBot="1" x14ac:dyDescent="0.35">
      <c r="A13" s="39"/>
      <c r="C13" s="48" t="s">
        <v>148</v>
      </c>
      <c r="D13" s="49">
        <v>2010</v>
      </c>
      <c r="E13" s="49">
        <v>2011</v>
      </c>
      <c r="F13" s="49">
        <v>2012</v>
      </c>
      <c r="G13" s="49">
        <v>2013</v>
      </c>
      <c r="H13" s="49">
        <v>2014</v>
      </c>
      <c r="I13" s="49">
        <v>2015</v>
      </c>
      <c r="J13" s="50">
        <v>2016</v>
      </c>
      <c r="K13" s="50">
        <v>2017</v>
      </c>
      <c r="L13" s="64">
        <v>2018</v>
      </c>
      <c r="M13" s="64">
        <v>2019</v>
      </c>
      <c r="N13" s="206">
        <v>2020</v>
      </c>
      <c r="O13" s="207">
        <v>2021</v>
      </c>
      <c r="P13" s="208">
        <v>2022</v>
      </c>
      <c r="Q13" s="220">
        <v>2023</v>
      </c>
      <c r="R13" s="47"/>
    </row>
    <row r="14" spans="1:18" ht="15" thickBot="1" x14ac:dyDescent="0.35">
      <c r="A14" s="39"/>
      <c r="C14" s="52" t="s">
        <v>149</v>
      </c>
      <c r="D14" s="53">
        <v>2.355743249391179E-2</v>
      </c>
      <c r="E14" s="53">
        <v>2.3638328288203777E-2</v>
      </c>
      <c r="F14" s="53">
        <v>2.37092055672482E-2</v>
      </c>
      <c r="G14" s="53">
        <v>2.4123737942344081E-2</v>
      </c>
      <c r="H14" s="53">
        <v>2.3640974166685223E-2</v>
      </c>
      <c r="I14" s="53">
        <v>2.3382358225835394E-2</v>
      </c>
      <c r="J14" s="54">
        <v>2.3467341152138839E-2</v>
      </c>
      <c r="K14" s="54">
        <v>2.2568151310674116E-2</v>
      </c>
      <c r="L14" s="65">
        <v>2.240654208296252E-2</v>
      </c>
      <c r="M14" s="65">
        <f>1367120/47130000</f>
        <v>2.9007426267769996E-2</v>
      </c>
      <c r="N14" s="209">
        <f>1533.4*1000/47370000</f>
        <v>3.2370698754485963E-2</v>
      </c>
      <c r="O14" s="210">
        <f>1234.4*1000/47420000</f>
        <v>2.6031210459721635E-2</v>
      </c>
      <c r="P14" s="211">
        <v>2.4460533299496576E-2</v>
      </c>
      <c r="Q14" s="219">
        <v>2.4432592834828154E-2</v>
      </c>
      <c r="R14" s="47"/>
    </row>
    <row r="15" spans="1:18" x14ac:dyDescent="0.3">
      <c r="A15" s="39"/>
      <c r="C15" s="55" t="s">
        <v>182</v>
      </c>
      <c r="D15" s="40"/>
      <c r="E15" s="40"/>
      <c r="F15" s="40"/>
      <c r="G15" s="40"/>
      <c r="H15" s="40"/>
      <c r="I15" s="40"/>
      <c r="J15" s="40"/>
      <c r="K15" s="40"/>
      <c r="L15" s="40"/>
      <c r="M15" s="46"/>
      <c r="N15" s="202"/>
      <c r="O15" s="202"/>
      <c r="P15" s="202"/>
      <c r="Q15" s="202"/>
      <c r="R15" s="47"/>
    </row>
    <row r="16" spans="1:18" x14ac:dyDescent="0.3">
      <c r="A16" s="39"/>
      <c r="C16" s="55"/>
      <c r="D16" s="40"/>
      <c r="E16" s="40"/>
      <c r="F16" s="40"/>
      <c r="G16" s="40"/>
      <c r="H16" s="40"/>
      <c r="I16" s="40"/>
      <c r="J16" s="40"/>
      <c r="K16" s="40"/>
      <c r="L16" s="40"/>
      <c r="M16" s="46"/>
      <c r="N16" s="202"/>
      <c r="O16" s="202"/>
      <c r="P16" s="202"/>
      <c r="Q16" s="202"/>
      <c r="R16" s="47"/>
    </row>
    <row r="17" spans="1:18" ht="15" customHeight="1" x14ac:dyDescent="0.3">
      <c r="A17" s="39"/>
      <c r="C17" t="s">
        <v>151</v>
      </c>
      <c r="D17" s="203"/>
      <c r="E17" s="26"/>
      <c r="F17" s="203"/>
      <c r="G17" s="40"/>
      <c r="H17" s="40"/>
      <c r="I17" s="40"/>
      <c r="J17" s="40"/>
      <c r="K17" s="40"/>
      <c r="L17" s="40"/>
      <c r="M17" s="203"/>
      <c r="N17" s="203"/>
      <c r="O17" s="203"/>
      <c r="P17" s="203"/>
      <c r="Q17" s="56">
        <v>0</v>
      </c>
      <c r="R17" s="47" t="s">
        <v>150</v>
      </c>
    </row>
    <row r="18" spans="1:18" ht="15" thickBot="1" x14ac:dyDescent="0.35">
      <c r="A18" s="57"/>
      <c r="B18" s="58"/>
      <c r="C18" s="59"/>
      <c r="D18" s="60"/>
      <c r="E18" s="60"/>
      <c r="F18" s="60"/>
      <c r="G18" s="60"/>
      <c r="H18" s="60"/>
      <c r="I18" s="60"/>
      <c r="J18" s="60"/>
      <c r="K18" s="60"/>
      <c r="L18" s="60"/>
      <c r="M18" s="61"/>
      <c r="N18" s="204"/>
      <c r="O18" s="204"/>
      <c r="P18" s="204"/>
      <c r="Q18" s="204"/>
      <c r="R18" s="62"/>
    </row>
    <row r="19" spans="1:18" x14ac:dyDescent="0.3">
      <c r="D19" s="40"/>
      <c r="E19" s="40"/>
      <c r="F19" s="40"/>
      <c r="G19" s="40"/>
      <c r="H19" s="40"/>
      <c r="I19" s="40"/>
      <c r="J19" s="40"/>
      <c r="K19" s="40"/>
      <c r="L19" s="40"/>
      <c r="M19" s="63"/>
      <c r="N19" s="205"/>
      <c r="O19" s="205"/>
      <c r="P19" s="205"/>
      <c r="Q19" s="205"/>
    </row>
    <row r="20" spans="1:18" x14ac:dyDescent="0.3">
      <c r="P20" s="221"/>
      <c r="Q20" s="221"/>
    </row>
    <row r="21" spans="1:18" x14ac:dyDescent="0.3">
      <c r="N21" s="221"/>
      <c r="P21" s="221"/>
    </row>
  </sheetData>
  <mergeCells count="1">
    <mergeCell ref="B6:P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1"/>
  <sheetViews>
    <sheetView workbookViewId="0">
      <selection activeCell="K36" sqref="K36"/>
    </sheetView>
  </sheetViews>
  <sheetFormatPr baseColWidth="10" defaultColWidth="11.5546875" defaultRowHeight="14.4" x14ac:dyDescent="0.3"/>
  <cols>
    <col min="1" max="2" width="3.6640625" customWidth="1"/>
    <col min="3" max="3" width="24.109375" customWidth="1"/>
    <col min="4" max="17" width="12.6640625" customWidth="1"/>
    <col min="18" max="18" width="30.6640625" customWidth="1"/>
    <col min="19" max="19" width="12.6640625" style="28" customWidth="1"/>
    <col min="20" max="20" width="20.6640625" customWidth="1"/>
  </cols>
  <sheetData>
    <row r="1" spans="1:19" x14ac:dyDescent="0.3">
      <c r="A1" s="27" t="s">
        <v>152</v>
      </c>
    </row>
    <row r="2" spans="1:19" x14ac:dyDescent="0.3">
      <c r="Q2" s="10"/>
      <c r="R2" s="6" t="s">
        <v>30</v>
      </c>
      <c r="S2"/>
    </row>
    <row r="3" spans="1:19" x14ac:dyDescent="0.3">
      <c r="Q3" s="15"/>
      <c r="R3" s="6" t="s">
        <v>34</v>
      </c>
      <c r="S3"/>
    </row>
    <row r="4" spans="1:19" x14ac:dyDescent="0.3">
      <c r="Q4" s="17"/>
      <c r="R4" s="6" t="s">
        <v>179</v>
      </c>
      <c r="S4"/>
    </row>
    <row r="5" spans="1:19" ht="15" thickBot="1" x14ac:dyDescent="0.35">
      <c r="Q5" s="5"/>
      <c r="R5" s="6"/>
      <c r="S5"/>
    </row>
    <row r="6" spans="1:19" ht="15" thickBot="1" x14ac:dyDescent="0.35">
      <c r="A6" s="29" t="s">
        <v>153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1">
        <f>Q9</f>
        <v>0</v>
      </c>
      <c r="R6" s="25" t="s">
        <v>144</v>
      </c>
      <c r="S6"/>
    </row>
    <row r="7" spans="1:19" x14ac:dyDescent="0.3">
      <c r="A7" s="27"/>
      <c r="Q7" s="32"/>
      <c r="S7"/>
    </row>
    <row r="8" spans="1:19" ht="15" thickBot="1" x14ac:dyDescent="0.35">
      <c r="A8" s="27" t="s">
        <v>154</v>
      </c>
      <c r="D8" s="25"/>
      <c r="E8" s="25"/>
      <c r="F8" s="25"/>
      <c r="G8" s="25"/>
      <c r="Q8" s="28"/>
      <c r="S8"/>
    </row>
    <row r="9" spans="1:19" s="100" customFormat="1" ht="15" thickBot="1" x14ac:dyDescent="0.35">
      <c r="A9" s="95"/>
      <c r="B9" s="34" t="s">
        <v>155</v>
      </c>
      <c r="C9" s="96"/>
      <c r="D9" s="97"/>
      <c r="E9" s="97"/>
      <c r="F9" s="97"/>
      <c r="G9" s="97"/>
      <c r="H9" s="96"/>
      <c r="I9" s="96"/>
      <c r="J9" s="96"/>
      <c r="K9" s="96"/>
      <c r="L9" s="96"/>
      <c r="M9" s="96"/>
      <c r="N9" s="96"/>
      <c r="O9" s="96"/>
      <c r="P9" s="96"/>
      <c r="Q9" s="98">
        <f>Q10*25</f>
        <v>0</v>
      </c>
      <c r="R9" s="99" t="s">
        <v>144</v>
      </c>
    </row>
    <row r="10" spans="1:19" s="100" customFormat="1" ht="15" thickBot="1" x14ac:dyDescent="0.35">
      <c r="A10" s="101"/>
      <c r="C10" t="s">
        <v>156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98">
        <f>((Q27*Q13*Q16)-Q30)*0.9</f>
        <v>0</v>
      </c>
      <c r="R10" s="102" t="s">
        <v>157</v>
      </c>
    </row>
    <row r="11" spans="1:19" s="27" customFormat="1" x14ac:dyDescent="0.3">
      <c r="A11" s="103"/>
      <c r="B11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8"/>
      <c r="R11" s="47"/>
    </row>
    <row r="12" spans="1:19" s="100" customFormat="1" x14ac:dyDescent="0.3">
      <c r="A12" s="101"/>
      <c r="B12" s="100" t="s">
        <v>158</v>
      </c>
      <c r="C12" s="25"/>
      <c r="D12" s="40"/>
      <c r="E12" s="40"/>
      <c r="F12" s="40"/>
      <c r="G12" s="40"/>
      <c r="H12" s="104"/>
      <c r="I12" s="104"/>
      <c r="J12" s="104"/>
      <c r="K12" s="40"/>
      <c r="L12" s="40"/>
      <c r="M12" s="40"/>
      <c r="N12" s="40"/>
      <c r="O12" s="40"/>
      <c r="P12" s="40"/>
      <c r="Q12" s="105"/>
      <c r="R12" s="106"/>
    </row>
    <row r="13" spans="1:19" s="100" customFormat="1" x14ac:dyDescent="0.3">
      <c r="A13" s="101"/>
      <c r="C13" s="25" t="s">
        <v>159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107">
        <v>8.059333333333335E-2</v>
      </c>
      <c r="R13" s="102" t="s">
        <v>160</v>
      </c>
    </row>
    <row r="14" spans="1:19" s="27" customFormat="1" x14ac:dyDescent="0.3">
      <c r="A14" s="103"/>
      <c r="C14" s="5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32"/>
      <c r="R14" s="108"/>
    </row>
    <row r="15" spans="1:19" s="27" customFormat="1" x14ac:dyDescent="0.3">
      <c r="A15" s="103"/>
      <c r="B15" s="27" t="s">
        <v>145</v>
      </c>
      <c r="C15" s="55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32"/>
      <c r="R15" s="108"/>
    </row>
    <row r="16" spans="1:19" x14ac:dyDescent="0.3">
      <c r="A16" s="39"/>
      <c r="C16" t="s">
        <v>183</v>
      </c>
      <c r="K16" s="40"/>
      <c r="L16" s="40"/>
      <c r="M16" s="40"/>
      <c r="N16" s="40"/>
      <c r="O16" s="40"/>
      <c r="P16" s="40"/>
      <c r="Q16" s="87">
        <v>0</v>
      </c>
      <c r="R16" s="42" t="s">
        <v>161</v>
      </c>
      <c r="S16"/>
    </row>
    <row r="17" spans="1:24" s="25" customFormat="1" x14ac:dyDescent="0.3">
      <c r="A17" s="43"/>
      <c r="K17" s="26"/>
      <c r="L17" s="26"/>
      <c r="M17" s="26"/>
      <c r="N17" s="26"/>
      <c r="O17" s="26"/>
      <c r="P17" s="26"/>
      <c r="Q17" s="44"/>
      <c r="R17" s="45"/>
    </row>
    <row r="18" spans="1:24" ht="15" thickBot="1" x14ac:dyDescent="0.35">
      <c r="A18" s="39"/>
      <c r="C18" t="s">
        <v>162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6"/>
      <c r="R18" s="47"/>
      <c r="S18"/>
    </row>
    <row r="19" spans="1:24" ht="15" thickBot="1" x14ac:dyDescent="0.35">
      <c r="A19" s="39"/>
      <c r="C19" s="33" t="s">
        <v>148</v>
      </c>
      <c r="D19" s="66">
        <v>2010</v>
      </c>
      <c r="E19" s="49">
        <v>2011</v>
      </c>
      <c r="F19" s="49">
        <v>2012</v>
      </c>
      <c r="G19" s="49">
        <v>2013</v>
      </c>
      <c r="H19" s="49">
        <v>2014</v>
      </c>
      <c r="I19" s="49">
        <v>2015</v>
      </c>
      <c r="J19" s="50">
        <v>2016</v>
      </c>
      <c r="K19" s="50">
        <v>2017</v>
      </c>
      <c r="L19" s="50">
        <v>2018</v>
      </c>
      <c r="M19" s="50">
        <v>2019</v>
      </c>
      <c r="N19" s="50">
        <v>2020</v>
      </c>
      <c r="O19" s="51">
        <v>2021</v>
      </c>
      <c r="P19" s="51">
        <v>2022</v>
      </c>
      <c r="Q19" s="51">
        <v>2023</v>
      </c>
      <c r="R19" s="47"/>
      <c r="S19"/>
    </row>
    <row r="20" spans="1:24" x14ac:dyDescent="0.3">
      <c r="A20" s="39"/>
      <c r="C20" s="67" t="s">
        <v>163</v>
      </c>
      <c r="D20" s="68">
        <v>883057</v>
      </c>
      <c r="E20" s="69">
        <v>864987</v>
      </c>
      <c r="F20" s="69">
        <v>823196</v>
      </c>
      <c r="G20" s="69">
        <v>802185</v>
      </c>
      <c r="H20" s="69">
        <v>805013</v>
      </c>
      <c r="I20" s="69">
        <v>805360</v>
      </c>
      <c r="J20" s="70">
        <v>812560</v>
      </c>
      <c r="K20" s="70">
        <v>901839</v>
      </c>
      <c r="L20" s="70">
        <v>921978</v>
      </c>
      <c r="M20" s="70">
        <v>933511</v>
      </c>
      <c r="N20" s="70">
        <v>922717</v>
      </c>
      <c r="O20" s="71">
        <v>927532</v>
      </c>
      <c r="P20" s="214">
        <f>171118+3642+557796+P21</f>
        <v>922493</v>
      </c>
      <c r="Q20" s="214">
        <f>Q21+166844+4045+539621</f>
        <v>910520</v>
      </c>
      <c r="R20" s="47"/>
      <c r="S20"/>
    </row>
    <row r="21" spans="1:24" x14ac:dyDescent="0.3">
      <c r="A21" s="39"/>
      <c r="C21" s="72" t="s">
        <v>164</v>
      </c>
      <c r="D21" s="73">
        <v>375137</v>
      </c>
      <c r="E21" s="74">
        <v>311480</v>
      </c>
      <c r="F21" s="74">
        <v>233002</v>
      </c>
      <c r="G21" s="74">
        <v>186073</v>
      </c>
      <c r="H21" s="74">
        <v>189411</v>
      </c>
      <c r="I21" s="74">
        <v>185041</v>
      </c>
      <c r="J21" s="75">
        <v>218767</v>
      </c>
      <c r="K21" s="75">
        <v>252355</v>
      </c>
      <c r="L21" s="75">
        <v>259996</v>
      </c>
      <c r="M21" s="75">
        <v>244908</v>
      </c>
      <c r="N21" s="75">
        <v>233606</v>
      </c>
      <c r="O21" s="76">
        <v>233640</v>
      </c>
      <c r="P21" s="213">
        <f>187921+2016</f>
        <v>189937</v>
      </c>
      <c r="Q21" s="213">
        <f>182263+17747</f>
        <v>200010</v>
      </c>
      <c r="R21" s="47"/>
      <c r="S21"/>
    </row>
    <row r="22" spans="1:24" s="91" customFormat="1" x14ac:dyDescent="0.3">
      <c r="A22" s="90"/>
      <c r="C22" s="72" t="s">
        <v>165</v>
      </c>
      <c r="D22" s="77">
        <f t="shared" ref="D22:L22" si="0">D21/D20</f>
        <v>0.4248162915870663</v>
      </c>
      <c r="E22" s="78">
        <f t="shared" si="0"/>
        <v>0.360097897425048</v>
      </c>
      <c r="F22" s="78">
        <f t="shared" si="0"/>
        <v>0.28304559303009247</v>
      </c>
      <c r="G22" s="78">
        <f t="shared" si="0"/>
        <v>0.23195771548956912</v>
      </c>
      <c r="H22" s="78">
        <f t="shared" si="0"/>
        <v>0.23528936799778388</v>
      </c>
      <c r="I22" s="78">
        <f t="shared" si="0"/>
        <v>0.22976184563425053</v>
      </c>
      <c r="J22" s="78">
        <f t="shared" si="0"/>
        <v>0.26923181057398837</v>
      </c>
      <c r="K22" s="78">
        <f t="shared" si="0"/>
        <v>0.27982267344836498</v>
      </c>
      <c r="L22" s="78">
        <f t="shared" si="0"/>
        <v>0.28199805201425632</v>
      </c>
      <c r="M22" s="78">
        <f t="shared" ref="M22:Q22" si="1">M21/M20</f>
        <v>0.26235148809173109</v>
      </c>
      <c r="N22" s="78">
        <f t="shared" si="1"/>
        <v>0.25317188260322504</v>
      </c>
      <c r="O22" s="79">
        <f t="shared" ref="O22:P22" si="2">O21/O20</f>
        <v>0.25189427426762634</v>
      </c>
      <c r="P22" s="215">
        <f t="shared" si="2"/>
        <v>0.20589532928705151</v>
      </c>
      <c r="Q22" s="215">
        <f t="shared" si="1"/>
        <v>0.21966568554232746</v>
      </c>
      <c r="R22" s="92"/>
    </row>
    <row r="23" spans="1:24" s="91" customFormat="1" x14ac:dyDescent="0.3">
      <c r="A23" s="90"/>
      <c r="C23" s="72" t="s">
        <v>166</v>
      </c>
      <c r="D23" s="80">
        <v>6023000</v>
      </c>
      <c r="E23" s="81">
        <v>7672000</v>
      </c>
      <c r="F23" s="81">
        <v>6770000</v>
      </c>
      <c r="G23" s="81">
        <v>5202000</v>
      </c>
      <c r="H23" s="81">
        <v>5358000</v>
      </c>
      <c r="I23" s="81">
        <v>5675000</v>
      </c>
      <c r="J23" s="81">
        <v>5999000</v>
      </c>
      <c r="K23" s="81">
        <v>6285000</v>
      </c>
      <c r="L23" s="81">
        <v>5610000</v>
      </c>
      <c r="M23" s="81">
        <v>0</v>
      </c>
      <c r="N23" s="81">
        <v>0</v>
      </c>
      <c r="O23" s="82">
        <v>0</v>
      </c>
      <c r="P23" s="216">
        <v>0</v>
      </c>
      <c r="Q23" s="216">
        <v>0</v>
      </c>
      <c r="R23" s="47"/>
      <c r="S23"/>
      <c r="T23"/>
      <c r="U23"/>
      <c r="V23"/>
      <c r="W23"/>
      <c r="X23"/>
    </row>
    <row r="24" spans="1:24" ht="15" thickBot="1" x14ac:dyDescent="0.35">
      <c r="A24" s="39"/>
      <c r="C24" s="83" t="s">
        <v>167</v>
      </c>
      <c r="D24" s="84">
        <f t="shared" ref="D24:L24" si="3">D23*0.717/D21/1000</f>
        <v>1.1511770366559418E-2</v>
      </c>
      <c r="E24" s="85">
        <f t="shared" si="3"/>
        <v>1.7660279953769103E-2</v>
      </c>
      <c r="F24" s="85">
        <f t="shared" si="3"/>
        <v>2.0832825469309278E-2</v>
      </c>
      <c r="G24" s="85">
        <f t="shared" si="3"/>
        <v>2.0045003842577912E-2</v>
      </c>
      <c r="H24" s="85">
        <f t="shared" si="3"/>
        <v>2.0282275052663255E-2</v>
      </c>
      <c r="I24" s="85">
        <f t="shared" si="3"/>
        <v>2.1989586091731021E-2</v>
      </c>
      <c r="J24" s="85">
        <f t="shared" si="3"/>
        <v>1.9661480022123996E-2</v>
      </c>
      <c r="K24" s="85">
        <f t="shared" si="3"/>
        <v>1.7857165500980762E-2</v>
      </c>
      <c r="L24" s="85">
        <f t="shared" si="3"/>
        <v>1.5470891859874767E-2</v>
      </c>
      <c r="M24" s="85">
        <f t="shared" ref="M24:Q24" si="4">M23*0.717/M21/1000</f>
        <v>0</v>
      </c>
      <c r="N24" s="85">
        <f t="shared" si="4"/>
        <v>0</v>
      </c>
      <c r="O24" s="86">
        <f t="shared" ref="O24:P24" si="5">O23*0.717/O21/1000</f>
        <v>0</v>
      </c>
      <c r="P24" s="217">
        <f t="shared" si="5"/>
        <v>0</v>
      </c>
      <c r="Q24" s="217">
        <f t="shared" si="4"/>
        <v>0</v>
      </c>
      <c r="R24" s="47"/>
      <c r="S24"/>
    </row>
    <row r="25" spans="1:24" x14ac:dyDescent="0.3">
      <c r="A25" s="39"/>
      <c r="C25" s="55" t="s">
        <v>168</v>
      </c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6"/>
      <c r="R25" s="47"/>
      <c r="S25"/>
    </row>
    <row r="26" spans="1:24" x14ac:dyDescent="0.3">
      <c r="A26" s="39"/>
      <c r="C26" s="5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6"/>
      <c r="R26" s="47"/>
      <c r="S26"/>
    </row>
    <row r="27" spans="1:24" x14ac:dyDescent="0.3">
      <c r="A27" s="39"/>
      <c r="C27" t="s">
        <v>178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88">
        <v>0</v>
      </c>
      <c r="R27" s="47"/>
      <c r="S27"/>
    </row>
    <row r="28" spans="1:24" x14ac:dyDescent="0.3">
      <c r="A28" s="39"/>
      <c r="C28" t="s">
        <v>169</v>
      </c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93">
        <f>Q16*Q27</f>
        <v>0</v>
      </c>
      <c r="R28" s="47" t="s">
        <v>170</v>
      </c>
      <c r="S28"/>
    </row>
    <row r="29" spans="1:24" x14ac:dyDescent="0.3">
      <c r="A29" s="39"/>
      <c r="C29" t="s">
        <v>177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89">
        <v>0</v>
      </c>
      <c r="R29" s="47" t="s">
        <v>171</v>
      </c>
      <c r="S29"/>
    </row>
    <row r="30" spans="1:24" ht="15" thickBot="1" x14ac:dyDescent="0.35">
      <c r="A30" s="57"/>
      <c r="B30" s="58"/>
      <c r="C30" s="58" t="s">
        <v>172</v>
      </c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94">
        <f>Q29*Q28</f>
        <v>0</v>
      </c>
      <c r="R30" s="62" t="s">
        <v>173</v>
      </c>
      <c r="S30"/>
    </row>
    <row r="31" spans="1:24" x14ac:dyDescent="0.3"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6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1-CAMBIO DE UNIDADES</vt:lpstr>
      <vt:lpstr>2-FACTORES DE EMISIÓN</vt:lpstr>
      <vt:lpstr>3-TRANSPORTE PÚBLICO</vt:lpstr>
      <vt:lpstr>4-TRATAMENTO AUGAS RESIDUAIS</vt:lpstr>
      <vt:lpstr>5-TRATAMENTO RSU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valorapfj</dc:creator>
  <cp:lastModifiedBy>Miguel Reimúndez</cp:lastModifiedBy>
  <dcterms:created xsi:type="dcterms:W3CDTF">2020-02-17T09:51:24Z</dcterms:created>
  <dcterms:modified xsi:type="dcterms:W3CDTF">2025-04-04T06:06:22Z</dcterms:modified>
</cp:coreProperties>
</file>